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9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4\APR.2024\24042024\"/>
    </mc:Choice>
  </mc:AlternateContent>
  <xr:revisionPtr revIDLastSave="0" documentId="8_{4CAE5605-E7C8-4000-8AF5-B5AF68C6B06F}" xr6:coauthVersionLast="36" xr6:coauthVersionMax="36" xr10:uidLastSave="{00000000-0000-0000-0000-000000000000}"/>
  <bookViews>
    <workbookView xWindow="0" yWindow="0" windowWidth="28800" windowHeight="11925" xr2:uid="{F4463161-11D1-407A-9232-DA638A77557C}"/>
  </bookViews>
  <sheets>
    <sheet name="Report_DPS (HPSLDC)" sheetId="1" r:id="rId1"/>
  </sheets>
  <externalReferences>
    <externalReference r:id="rId2"/>
    <externalReference r:id="rId3"/>
    <externalReference r:id="rId4"/>
  </externalReferences>
  <definedNames>
    <definedName name="_A9" localSheetId="0">'Report_DPS (HPSLDC)'!$D$57</definedName>
    <definedName name="_S3" localSheetId="0">'Report_DPS (HPSLDC)'!$F$73</definedName>
    <definedName name="a" localSheetId="0">'Report_DPS (HPSLDC)'!$D$57</definedName>
    <definedName name="b" localSheetId="0">'Report_DPS (HPSLDC)'!#REF!</definedName>
    <definedName name="dtp">'[2]ACTUAL GENERATION'!$X$11</definedName>
    <definedName name="FF">'[3]ACTUAL GENERATION'!$X$11</definedName>
    <definedName name="_xlnm.Print_Area" localSheetId="0">'Report_DPS (HPSLDC)'!$A$1:$I$93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14" i="1" l="1"/>
  <c r="I84" i="1"/>
  <c r="D84" i="1"/>
  <c r="G83" i="1"/>
  <c r="I82" i="1"/>
  <c r="G82" i="1"/>
  <c r="I81" i="1"/>
  <c r="I83" i="1" s="1"/>
  <c r="I80" i="1"/>
  <c r="F80" i="1"/>
  <c r="I79" i="1"/>
  <c r="D121" i="1" s="1"/>
  <c r="F79" i="1"/>
  <c r="I78" i="1"/>
  <c r="F78" i="1"/>
  <c r="D77" i="1"/>
  <c r="C77" i="1"/>
  <c r="B77" i="1"/>
  <c r="I76" i="1"/>
  <c r="D76" i="1"/>
  <c r="C76" i="1"/>
  <c r="B76" i="1"/>
  <c r="I75" i="1"/>
  <c r="D75" i="1"/>
  <c r="C75" i="1"/>
  <c r="B75" i="1"/>
  <c r="D74" i="1"/>
  <c r="C74" i="1"/>
  <c r="B74" i="1"/>
  <c r="I73" i="1"/>
  <c r="C121" i="1" s="1"/>
  <c r="D73" i="1"/>
  <c r="C73" i="1"/>
  <c r="B73" i="1"/>
  <c r="S72" i="1"/>
  <c r="R72" i="1"/>
  <c r="Q72" i="1"/>
  <c r="P72" i="1"/>
  <c r="O72" i="1"/>
  <c r="N72" i="1"/>
  <c r="M72" i="1"/>
  <c r="L72" i="1"/>
  <c r="K72" i="1"/>
  <c r="D72" i="1"/>
  <c r="C72" i="1"/>
  <c r="B72" i="1"/>
  <c r="D71" i="1"/>
  <c r="C71" i="1"/>
  <c r="B71" i="1"/>
  <c r="I70" i="1"/>
  <c r="H70" i="1"/>
  <c r="F70" i="1"/>
  <c r="D70" i="1"/>
  <c r="C70" i="1"/>
  <c r="B70" i="1"/>
  <c r="I69" i="1"/>
  <c r="F69" i="1" s="1"/>
  <c r="H69" i="1"/>
  <c r="D69" i="1"/>
  <c r="C69" i="1"/>
  <c r="B69" i="1"/>
  <c r="I68" i="1"/>
  <c r="H68" i="1"/>
  <c r="F68" i="1"/>
  <c r="D68" i="1"/>
  <c r="D83" i="1" s="1"/>
  <c r="C68" i="1"/>
  <c r="B68" i="1"/>
  <c r="I67" i="1"/>
  <c r="F67" i="1" s="1"/>
  <c r="H67" i="1"/>
  <c r="D67" i="1"/>
  <c r="C67" i="1"/>
  <c r="B67" i="1"/>
  <c r="I66" i="1"/>
  <c r="F66" i="1" s="1"/>
  <c r="H66" i="1"/>
  <c r="D66" i="1"/>
  <c r="C66" i="1"/>
  <c r="C83" i="1" s="1"/>
  <c r="B66" i="1"/>
  <c r="I65" i="1"/>
  <c r="H65" i="1"/>
  <c r="F65" i="1"/>
  <c r="I64" i="1"/>
  <c r="H64" i="1"/>
  <c r="F64" i="1"/>
  <c r="I63" i="1"/>
  <c r="S57" i="1" s="1"/>
  <c r="H63" i="1"/>
  <c r="F63" i="1"/>
  <c r="D63" i="1"/>
  <c r="C116" i="1" s="1"/>
  <c r="D62" i="1"/>
  <c r="AB61" i="1"/>
  <c r="AA61" i="1"/>
  <c r="I61" i="1"/>
  <c r="H61" i="1"/>
  <c r="F61" i="1"/>
  <c r="I60" i="1"/>
  <c r="H60" i="1"/>
  <c r="F60" i="1"/>
  <c r="D60" i="1"/>
  <c r="B60" i="1"/>
  <c r="I59" i="1"/>
  <c r="H59" i="1"/>
  <c r="F59" i="1"/>
  <c r="D59" i="1"/>
  <c r="B59" i="1"/>
  <c r="I58" i="1"/>
  <c r="E121" i="1" s="1"/>
  <c r="H58" i="1"/>
  <c r="F58" i="1"/>
  <c r="D58" i="1"/>
  <c r="C115" i="1" s="1"/>
  <c r="B58" i="1"/>
  <c r="I57" i="1"/>
  <c r="H57" i="1"/>
  <c r="F57" i="1"/>
  <c r="D57" i="1"/>
  <c r="D61" i="1" s="1"/>
  <c r="I56" i="1"/>
  <c r="H56" i="1"/>
  <c r="F56" i="1"/>
  <c r="I55" i="1"/>
  <c r="H55" i="1"/>
  <c r="F55" i="1"/>
  <c r="D55" i="1"/>
  <c r="I54" i="1"/>
  <c r="H54" i="1"/>
  <c r="F54" i="1"/>
  <c r="D54" i="1"/>
  <c r="D53" i="1"/>
  <c r="C113" i="1" s="1"/>
  <c r="I52" i="1"/>
  <c r="F52" i="1" s="1"/>
  <c r="H52" i="1"/>
  <c r="D52" i="1"/>
  <c r="B52" i="1"/>
  <c r="I51" i="1"/>
  <c r="D51" i="1"/>
  <c r="B51" i="1"/>
  <c r="G50" i="1"/>
  <c r="I49" i="1"/>
  <c r="H49" i="1"/>
  <c r="D49" i="1"/>
  <c r="D48" i="1"/>
  <c r="I47" i="1"/>
  <c r="I71" i="1" s="1"/>
  <c r="K66" i="1" s="1"/>
  <c r="H47" i="1"/>
  <c r="H71" i="1" s="1"/>
  <c r="M46" i="1"/>
  <c r="I44" i="1"/>
  <c r="G44" i="1"/>
  <c r="F44" i="1"/>
  <c r="G43" i="1"/>
  <c r="D50" i="1" s="1"/>
  <c r="F43" i="1"/>
  <c r="H42" i="1"/>
  <c r="G42" i="1"/>
  <c r="F42" i="1"/>
  <c r="E42" i="1"/>
  <c r="C42" i="1"/>
  <c r="H41" i="1"/>
  <c r="G41" i="1"/>
  <c r="F41" i="1"/>
  <c r="E41" i="1"/>
  <c r="D41" i="1"/>
  <c r="C41" i="1"/>
  <c r="B41" i="1"/>
  <c r="F40" i="1"/>
  <c r="I38" i="1"/>
  <c r="G38" i="1" s="1"/>
  <c r="H38" i="1"/>
  <c r="F38" i="1"/>
  <c r="E38" i="1"/>
  <c r="D38" i="1"/>
  <c r="G37" i="1"/>
  <c r="F37" i="1"/>
  <c r="E37" i="1"/>
  <c r="D37" i="1"/>
  <c r="I36" i="1"/>
  <c r="D47" i="1" s="1"/>
  <c r="H36" i="1"/>
  <c r="F36" i="1"/>
  <c r="E36" i="1"/>
  <c r="D36" i="1"/>
  <c r="C33" i="1"/>
  <c r="M45" i="1" s="1"/>
  <c r="I32" i="1"/>
  <c r="G32" i="1"/>
  <c r="F32" i="1"/>
  <c r="E32" i="1"/>
  <c r="D32" i="1"/>
  <c r="I31" i="1"/>
  <c r="H31" i="1"/>
  <c r="G31" i="1"/>
  <c r="F31" i="1"/>
  <c r="E31" i="1"/>
  <c r="D31" i="1"/>
  <c r="I30" i="1"/>
  <c r="H30" i="1"/>
  <c r="G30" i="1"/>
  <c r="F30" i="1"/>
  <c r="E30" i="1"/>
  <c r="D30" i="1"/>
  <c r="H29" i="1"/>
  <c r="G29" i="1"/>
  <c r="F29" i="1"/>
  <c r="E29" i="1"/>
  <c r="D29" i="1"/>
  <c r="I28" i="1"/>
  <c r="H28" i="1"/>
  <c r="G28" i="1"/>
  <c r="F28" i="1"/>
  <c r="E28" i="1"/>
  <c r="D28" i="1"/>
  <c r="I27" i="1"/>
  <c r="H27" i="1"/>
  <c r="G27" i="1"/>
  <c r="F27" i="1"/>
  <c r="E27" i="1"/>
  <c r="D27" i="1"/>
  <c r="I26" i="1"/>
  <c r="H26" i="1"/>
  <c r="G26" i="1"/>
  <c r="F26" i="1"/>
  <c r="E26" i="1"/>
  <c r="D26" i="1"/>
  <c r="I25" i="1"/>
  <c r="H25" i="1"/>
  <c r="G25" i="1"/>
  <c r="F25" i="1"/>
  <c r="E25" i="1"/>
  <c r="D25" i="1"/>
  <c r="I24" i="1"/>
  <c r="H24" i="1"/>
  <c r="G24" i="1"/>
  <c r="F24" i="1"/>
  <c r="E24" i="1"/>
  <c r="D24" i="1"/>
  <c r="I23" i="1"/>
  <c r="H23" i="1"/>
  <c r="G23" i="1"/>
  <c r="F23" i="1"/>
  <c r="E23" i="1"/>
  <c r="D23" i="1"/>
  <c r="I22" i="1"/>
  <c r="H22" i="1"/>
  <c r="G22" i="1"/>
  <c r="F22" i="1"/>
  <c r="E22" i="1"/>
  <c r="D22" i="1"/>
  <c r="I21" i="1"/>
  <c r="H21" i="1"/>
  <c r="H33" i="1" s="1"/>
  <c r="G21" i="1"/>
  <c r="F21" i="1"/>
  <c r="E21" i="1"/>
  <c r="D21" i="1"/>
  <c r="D33" i="1" s="1"/>
  <c r="I20" i="1"/>
  <c r="H20" i="1"/>
  <c r="G20" i="1"/>
  <c r="G33" i="1" s="1"/>
  <c r="F20" i="1"/>
  <c r="F33" i="1" s="1"/>
  <c r="N31" i="1" s="1"/>
  <c r="E20" i="1"/>
  <c r="E33" i="1" s="1"/>
  <c r="D20" i="1"/>
  <c r="R16" i="1"/>
  <c r="D11" i="1"/>
  <c r="I5" i="1"/>
  <c r="C1" i="1"/>
  <c r="N33" i="1" l="1"/>
  <c r="D46" i="1"/>
  <c r="G36" i="1"/>
  <c r="I77" i="1"/>
  <c r="D56" i="1" l="1"/>
  <c r="D64" i="1" s="1"/>
  <c r="C112" i="1"/>
  <c r="B121" i="1"/>
  <c r="D85" i="1" l="1"/>
  <c r="I72" i="1"/>
  <c r="I74" i="1" s="1"/>
  <c r="D117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ControlRoom</author>
    <author>ControlRoom_ALDC</author>
    <author>dba</author>
  </authors>
  <commentList>
    <comment ref="D61" authorId="0" shapeId="0" xr:uid="{9FEFEBF9-850D-4D77-8998-A0C9590826D4}">
      <text>
        <r>
          <rPr>
            <b/>
            <sz val="8"/>
            <color indexed="81"/>
            <rFont val="Tahoma"/>
            <family val="2"/>
          </rPr>
          <t>ControlRoom: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63" authorId="1" shapeId="0" xr:uid="{B2581989-2C8B-4E2C-9F39-3089AF65C0FF}">
      <text>
        <r>
          <rPr>
            <b/>
            <sz val="10"/>
            <color indexed="81"/>
            <rFont val="Tahoma"/>
            <family val="2"/>
          </rPr>
          <t xml:space="preserve"> Malana, Phojal, Baner Sangam, Chanju HEP, Kashang, Suryakanta, Nanti, Sandhaya, Bharagarh &amp; Goodwill(KUT)
(in/out)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I74" authorId="2" shapeId="0" xr:uid="{798D80B2-CFB6-4A02-9ED1-5F254EE56A9C}">
      <text>
        <r>
          <rPr>
            <b/>
            <sz val="9"/>
            <color indexed="81"/>
            <rFont val="Tahoma"/>
            <family val="2"/>
          </rPr>
          <t xml:space="preserve">dba:
</t>
        </r>
      </text>
    </comment>
  </commentList>
</comments>
</file>

<file path=xl/sharedStrings.xml><?xml version="1.0" encoding="utf-8"?>
<sst xmlns="http://schemas.openxmlformats.org/spreadsheetml/2006/main" count="143" uniqueCount="136">
  <si>
    <r>
      <t>File Name</t>
    </r>
    <r>
      <rPr>
        <sz val="12"/>
        <color indexed="8"/>
        <rFont val="Arial"/>
        <family val="2"/>
      </rPr>
      <t xml:space="preserve">: </t>
    </r>
    <r>
      <rPr>
        <b/>
        <sz val="12"/>
        <color indexed="12"/>
        <rFont val="Arial"/>
        <family val="2"/>
      </rPr>
      <t>DAILY POWER SUPPLY-</t>
    </r>
  </si>
  <si>
    <t xml:space="preserve">Hiamchal Pradesh State Load Despatch Centre </t>
  </si>
  <si>
    <t>Government of Himahcal Pradesh</t>
  </si>
  <si>
    <t>E-Mail sehpsldc@gmail.com</t>
  </si>
  <si>
    <t xml:space="preserve">Dated  </t>
  </si>
  <si>
    <t>FROM:</t>
  </si>
  <si>
    <t>TO</t>
  </si>
  <si>
    <t>POWER CONTROLLER</t>
  </si>
  <si>
    <t xml:space="preserve">Managing Director </t>
  </si>
  <si>
    <t>HPSLDC, GoHP, Totu, Shimla-11</t>
  </si>
  <si>
    <t xml:space="preserve">HP State Load Despatch Centre </t>
  </si>
  <si>
    <t>(FAX  #: 0177 2837543)</t>
  </si>
  <si>
    <t>Govt. of HP, Totu, Shimla-11</t>
  </si>
  <si>
    <t>Eamail:mdhpsldc@gmail.com</t>
  </si>
  <si>
    <r>
      <t xml:space="preserve">Subject:- </t>
    </r>
    <r>
      <rPr>
        <b/>
        <u/>
        <sz val="16"/>
        <rFont val="Arial"/>
        <family val="2"/>
      </rPr>
      <t>Daily Power Supply Position For Dated</t>
    </r>
  </si>
  <si>
    <t>Sir,</t>
  </si>
  <si>
    <t xml:space="preserve">         The daily Power Supply Position is tabulated as under :-</t>
  </si>
  <si>
    <t>S.No.</t>
  </si>
  <si>
    <t>POWER HOUSES UNDER HPSEBL</t>
  </si>
  <si>
    <t>INSTALLED CAPACITY (MW)</t>
  </si>
  <si>
    <t>DAILY  GENERATION TARGET ON YEARLY BASIS [CE (Gen)/IPP] Lakh Units</t>
  </si>
  <si>
    <t>DAILY GENERATION TARGET ON WEEKLY  BASIS  (SLDC) LU on Previous year Trend</t>
  </si>
  <si>
    <t>ESTIMATED GENERATION ON DAYAHEAD BASIS FROM HPSEBL P/ H's / IPP) Lakh Units</t>
  </si>
  <si>
    <t>ACTUAL (Lakh Units)</t>
  </si>
  <si>
    <t>MAX Gen.      Mega Watts</t>
  </si>
  <si>
    <t>REMARKS</t>
  </si>
  <si>
    <t xml:space="preserve">( Reason for 
Major Variation) </t>
  </si>
  <si>
    <t>9</t>
  </si>
  <si>
    <t>LARJI              (3x42 MW)</t>
  </si>
  <si>
    <t>BHABA           (3x40 MW)</t>
  </si>
  <si>
    <t>BASSI              (4x16.50MW)</t>
  </si>
  <si>
    <t>GIRI                 (2x30 MW)</t>
  </si>
  <si>
    <t>GANVI-I(2x11.25 MW)</t>
  </si>
  <si>
    <t xml:space="preserve">ANDHRA  (3x5.65 MW) </t>
  </si>
  <si>
    <t xml:space="preserve">BANER               (3x4 MW)  </t>
  </si>
  <si>
    <t xml:space="preserve">KHAULI             (2x6 MW) </t>
  </si>
  <si>
    <t xml:space="preserve">GAJ                  ( 3x3.5 MW) </t>
  </si>
  <si>
    <t xml:space="preserve"> GANVI-II(2x5)</t>
  </si>
  <si>
    <t xml:space="preserve">BINWA             (2x3 MW) </t>
  </si>
  <si>
    <r>
      <t>THIROT</t>
    </r>
    <r>
      <rPr>
        <b/>
        <sz val="12"/>
        <color indexed="10"/>
        <rFont val="Arial"/>
        <family val="2"/>
      </rPr>
      <t xml:space="preserve">  </t>
    </r>
    <r>
      <rPr>
        <b/>
        <sz val="12"/>
        <rFont val="Arial"/>
        <family val="2"/>
      </rPr>
      <t xml:space="preserve">    (3x1.5 MW)</t>
    </r>
  </si>
  <si>
    <t>Anticipated/ Estimated Generation</t>
  </si>
  <si>
    <t xml:space="preserve">MINI/MICRO  **      (30.95 MW) </t>
  </si>
  <si>
    <t>A</t>
  </si>
  <si>
    <t>TOTAL HPSEBL Gen.(1 to 12)</t>
  </si>
  <si>
    <t>Total actual  Gen.</t>
  </si>
  <si>
    <t>B</t>
  </si>
  <si>
    <t>IPP's Generation</t>
  </si>
  <si>
    <t>Actual Availed by HPSEBL</t>
  </si>
  <si>
    <t xml:space="preserve"> Total Generation of Baspa-II in LUs</t>
  </si>
  <si>
    <t>i)</t>
  </si>
  <si>
    <t xml:space="preserve">Baspa (3 X100MW) IPP </t>
  </si>
  <si>
    <t>(a) 88%</t>
  </si>
  <si>
    <t>(b) 12%</t>
  </si>
  <si>
    <t xml:space="preserve"> Total Generation of Malana</t>
  </si>
  <si>
    <t>ii)</t>
  </si>
  <si>
    <t>Malana (2X43 MW) IPP HP Share (20%)</t>
  </si>
  <si>
    <t>Total Generation of IPP's selling out side in Lus</t>
  </si>
  <si>
    <t>iii)</t>
  </si>
  <si>
    <t>iiia)</t>
  </si>
  <si>
    <t>SAWRA KUDDU (37x3)</t>
  </si>
  <si>
    <t>iv)</t>
  </si>
  <si>
    <t>MICRO i/c Patikari &amp; Toss (IPP)</t>
  </si>
  <si>
    <t>v)</t>
  </si>
  <si>
    <t>IPP's  Power (Phojal, Baner Sangam, Chanju, Suryaakanta, Sandhya, Kashang, Nanti, Bharagarh &amp; Goodwill )</t>
  </si>
  <si>
    <t>-</t>
  </si>
  <si>
    <t>='Form-1_AnticipatedVsActual_BI'!V19+'Form-1_AnticipatedVsActual_BI'!V24+'Form-1_AnticipatedVsActual_BI'!V30+'Form-1_AnticipatedVsActual_BI'!V36+'Form-1_AnticipatedVsActual_BI'!V42+'Form-1_AnticipatedVsActual_BI'!V49+'Form-1_AnticipatedVsActual_BI'!V55</t>
  </si>
  <si>
    <t xml:space="preserve">Summary:- </t>
  </si>
  <si>
    <t>All Figures in LU's</t>
  </si>
  <si>
    <t xml:space="preserve">HPSEBL Generation </t>
  </si>
  <si>
    <t>EXPORT THROUGH BANKING/SALE</t>
  </si>
  <si>
    <t>At NR Periphery</t>
  </si>
  <si>
    <t>At HP Periphery</t>
  </si>
  <si>
    <t>Baspa-II</t>
  </si>
  <si>
    <t>HPSEBL Export through IEX+ PXIL</t>
  </si>
  <si>
    <t>(A)Market Sale through IEX</t>
  </si>
  <si>
    <t>Sawra Kuddu + Kashang</t>
  </si>
  <si>
    <t>Solar IPP's</t>
  </si>
  <si>
    <t>(B) Sale through RTM</t>
  </si>
  <si>
    <t xml:space="preserve">MICRO (IPP )  </t>
  </si>
  <si>
    <t>(C ) Total (A+B)</t>
  </si>
  <si>
    <t>Total Central Sector including SOR &amp; GoHP Share in NJPC, B'suil, CH-I, CH-II (HP Periphery)</t>
  </si>
  <si>
    <t xml:space="preserve">Free Power to HPSEBL from IPPs (Selling under OA) : Malana, Phojal, Baner Sangam, Chanju HEP, Kashang, Suryakanta, Nanti, Sandhaya, Bharagarh &amp; Goodwill(KUT) </t>
  </si>
  <si>
    <t xml:space="preserve">Bilateral Share (Shanan+RSD+UP+UK+SAINJ) </t>
  </si>
  <si>
    <t>x2</t>
  </si>
  <si>
    <t>Total availability (1 to  4 + 6 to 9)</t>
  </si>
  <si>
    <t xml:space="preserve">Total GoHP Power  as per last revision. </t>
  </si>
  <si>
    <t>GoHP Power in/out (+/-) from the Grid</t>
  </si>
  <si>
    <t xml:space="preserve">SOR </t>
  </si>
  <si>
    <t>AS &amp; WHEN :-</t>
  </si>
  <si>
    <t xml:space="preserve">     </t>
  </si>
  <si>
    <t>Malana &amp; other IPP's (selling out side) in/out (+/-) from HPSEBL system</t>
  </si>
  <si>
    <t>=((Report_DPS!$I$35*0.8)*0.96)-ABS('Form-1_AnticipatedVsActual_BI'!$L$28)+(('Form-1_AnticipatedVsActual_BI'!$G31*1)*0.9525)-ABS('Form-1_AnticipatedVsActual_BI'!$L31)+(('Form-1_AnticipatedVsActual_BI'!$G32*0.87)*0.96)-ABS('Form-1_AnticipatedVsActual_BI'!$L32)</t>
  </si>
  <si>
    <t>Net Availability with HPSEBL (10-12+17)</t>
  </si>
  <si>
    <t xml:space="preserve">IMPORT THROUGH BANKING/ PURCHASE </t>
  </si>
  <si>
    <t>OD/UD During Min./Max. Frequency</t>
  </si>
  <si>
    <t>Total Export</t>
  </si>
  <si>
    <t>Min. Freq.</t>
  </si>
  <si>
    <t>Time</t>
  </si>
  <si>
    <t>O/D</t>
  </si>
  <si>
    <t>U/D</t>
  </si>
  <si>
    <t>Max. Freq.</t>
  </si>
  <si>
    <t>Average .Freq.</t>
  </si>
  <si>
    <t>Availability after Import/Export (18+20-22)</t>
  </si>
  <si>
    <t>Demand of the State</t>
  </si>
  <si>
    <t>Over/Under drawl(-/+) [23-24]</t>
  </si>
  <si>
    <t>Tentative UI rate in Rupees (OD &amp; UD), Avg</t>
  </si>
  <si>
    <t>G67</t>
  </si>
  <si>
    <t>="Gas:" &amp; IF('Surrendered Energy'!AX105&lt;0,0,ROUND('Surrendered Energy'!AX105,2))&amp;" &amp; Thermal:" &amp;IF('Surrendered Energy'!AY105&lt;0,0,ROUND('Surrendered Energy'!AY105,2))</t>
  </si>
  <si>
    <t xml:space="preserve">Load Shedding    </t>
  </si>
  <si>
    <t>I67</t>
  </si>
  <si>
    <t>=IF(AND('Surrendered Energy'!AY105&lt;0,'Surrendered Energy'!AX105&lt;0),0,IF(AND('Surrendered Energy'!AY105&gt;=0,'Surrendered Energy'!AX105&gt;=0),('Surrendered Energy'!AY105+'Surrendered Energy'!AX105),IF('Surrendered Energy'!AX105&gt;0,'Surrendered Energy'!AX105,'Surrendered Energy'!AY105)))</t>
  </si>
  <si>
    <t>Unrestricted Demand</t>
  </si>
  <si>
    <t>Central Share Surrendered</t>
  </si>
  <si>
    <t xml:space="preserve">LF &amp; RF </t>
  </si>
  <si>
    <t>Total Import by HPSEBL</t>
  </si>
  <si>
    <t>URS Booked</t>
  </si>
  <si>
    <t xml:space="preserve">INDUSTRIAL CONSUMPTION </t>
  </si>
  <si>
    <t>Availability with HP (18-21)</t>
  </si>
  <si>
    <t xml:space="preserve">          </t>
  </si>
  <si>
    <t xml:space="preserve">* Means no communication. Generation assumed.   </t>
  </si>
  <si>
    <t xml:space="preserve">**  Includes Generation of  mini/micro power Houses of HPSEBL. </t>
  </si>
  <si>
    <t>Copy to:-</t>
  </si>
  <si>
    <t xml:space="preserve">     The Chief Engineer (HPSLDC), GoHP, Totu, Shimla-11.</t>
  </si>
  <si>
    <t>Shift Incharge</t>
  </si>
  <si>
    <t>HPSLDC, GoHP, Totu,Shimla-11.</t>
  </si>
  <si>
    <t xml:space="preserve">Own </t>
  </si>
  <si>
    <t>Central Sector</t>
  </si>
  <si>
    <t>Bilateral 
(Shared+Malana afterExport)</t>
  </si>
  <si>
    <t>GoHP Power (in/out)</t>
  </si>
  <si>
    <t>Malana (in/out)</t>
  </si>
  <si>
    <t>.</t>
  </si>
  <si>
    <t>OD/UD</t>
  </si>
  <si>
    <t>Total Gen.</t>
  </si>
  <si>
    <t>Demand Met</t>
  </si>
  <si>
    <t>Max Demand Met MW</t>
  </si>
  <si>
    <t>RE/Green Power Sold (Lus)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</si>
</sst>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d\.mm\.yy;@"/>
    <numFmt numFmtId="165" formatCode="[$-409]d\-mmm\-yyyy;@"/>
    <numFmt numFmtId="166" formatCode="[$-409]d\-mmm\-yy;@"/>
    <numFmt numFmtId="167" formatCode="[$-409]dd\-mmm\-yy;@"/>
    <numFmt numFmtId="168" formatCode="0.000"/>
    <numFmt numFmtId="169" formatCode="0.00000000000"/>
  </numFmts>
  <fonts count="4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color indexed="10"/>
      <name val="Arial"/>
      <family val="2"/>
    </font>
    <font>
      <sz val="12"/>
      <color indexed="8"/>
      <name val="Arial"/>
      <family val="2"/>
    </font>
    <font>
      <b/>
      <sz val="12"/>
      <color indexed="12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6"/>
      <color rgb="FF003399"/>
      <name val="Arial"/>
      <family val="2"/>
    </font>
    <font>
      <b/>
      <i/>
      <sz val="16"/>
      <color theme="1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u/>
      <sz val="16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u/>
      <sz val="16"/>
      <name val="Arial"/>
      <family val="2"/>
    </font>
    <font>
      <b/>
      <sz val="11"/>
      <name val="Arial"/>
      <family val="2"/>
    </font>
    <font>
      <b/>
      <sz val="9.25"/>
      <name val="Arial"/>
      <family val="2"/>
    </font>
    <font>
      <b/>
      <sz val="9"/>
      <name val="Arial"/>
      <family val="2"/>
    </font>
    <font>
      <b/>
      <sz val="14"/>
      <color indexed="8"/>
      <name val="Arial"/>
      <family val="2"/>
    </font>
    <font>
      <u/>
      <sz val="8"/>
      <color theme="10"/>
      <name val="Arial"/>
      <family val="2"/>
    </font>
    <font>
      <b/>
      <sz val="10"/>
      <name val="Arial"/>
      <family val="2"/>
    </font>
    <font>
      <b/>
      <sz val="11"/>
      <color indexed="13"/>
      <name val="Arial"/>
      <family val="2"/>
    </font>
    <font>
      <b/>
      <sz val="10.5"/>
      <name val="Arial"/>
      <family val="2"/>
    </font>
    <font>
      <sz val="12"/>
      <color theme="0"/>
      <name val="Arial"/>
      <family val="2"/>
    </font>
    <font>
      <sz val="8"/>
      <name val="Arial"/>
      <family val="2"/>
    </font>
    <font>
      <b/>
      <sz val="12"/>
      <color theme="1"/>
      <name val="Arial"/>
      <family val="2"/>
    </font>
    <font>
      <b/>
      <sz val="11"/>
      <color rgb="FF7030A0"/>
      <name val="Arial"/>
      <family val="2"/>
    </font>
    <font>
      <b/>
      <sz val="11"/>
      <color theme="3" tint="-0.499984740745262"/>
      <name val="Arial"/>
      <family val="2"/>
    </font>
    <font>
      <b/>
      <sz val="11"/>
      <color indexed="10"/>
      <name val="Arial"/>
      <family val="2"/>
    </font>
    <font>
      <b/>
      <sz val="9"/>
      <color indexed="10"/>
      <name val="Arial"/>
      <family val="2"/>
    </font>
    <font>
      <b/>
      <i/>
      <sz val="9"/>
      <color indexed="10"/>
      <name val="Arial"/>
      <family val="2"/>
    </font>
    <font>
      <b/>
      <u/>
      <sz val="9"/>
      <color indexed="10"/>
      <name val="Arial"/>
      <family val="2"/>
    </font>
    <font>
      <u/>
      <sz val="11"/>
      <name val="Arial"/>
      <family val="2"/>
    </font>
    <font>
      <b/>
      <u/>
      <sz val="11"/>
      <name val="Arial"/>
      <family val="2"/>
    </font>
    <font>
      <b/>
      <u/>
      <sz val="11"/>
      <color indexed="10"/>
      <name val="Arial"/>
      <family val="2"/>
    </font>
    <font>
      <b/>
      <sz val="9"/>
      <color theme="1"/>
      <name val="Corbel"/>
      <family val="2"/>
    </font>
    <font>
      <b/>
      <sz val="9"/>
      <color theme="0" tint="-0.34998626667073579"/>
      <name val="Corbel"/>
      <family val="2"/>
    </font>
    <font>
      <b/>
      <sz val="9"/>
      <color indexed="8"/>
      <name val="Calibri"/>
      <family val="2"/>
    </font>
    <font>
      <b/>
      <i/>
      <sz val="11"/>
      <color indexed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0"/>
      <color indexed="81"/>
      <name val="Tahoma"/>
      <family val="2"/>
    </font>
    <font>
      <b/>
      <sz val="9"/>
      <color indexed="81"/>
      <name val="Tahoma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4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">
    <xf numFmtId="0" fontId="0" fillId="0" borderId="0"/>
    <xf numFmtId="0" fontId="1" fillId="0" borderId="0"/>
    <xf numFmtId="0" fontId="20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</cellStyleXfs>
  <cellXfs count="306">
    <xf numFmtId="0" fontId="0" fillId="0" borderId="0" xfId="0"/>
    <xf numFmtId="0" fontId="2" fillId="2" borderId="1" xfId="1" applyFont="1" applyFill="1" applyBorder="1" applyProtection="1"/>
    <xf numFmtId="0" fontId="2" fillId="2" borderId="2" xfId="1" applyFont="1" applyFill="1" applyBorder="1" applyAlignment="1" applyProtection="1">
      <alignment horizontal="right"/>
    </xf>
    <xf numFmtId="164" fontId="4" fillId="2" borderId="2" xfId="1" applyNumberFormat="1" applyFont="1" applyFill="1" applyBorder="1" applyAlignment="1" applyProtection="1">
      <alignment horizontal="left"/>
    </xf>
    <xf numFmtId="0" fontId="5" fillId="2" borderId="2" xfId="1" applyFont="1" applyFill="1" applyBorder="1" applyProtection="1"/>
    <xf numFmtId="0" fontId="6" fillId="2" borderId="3" xfId="1" applyFont="1" applyFill="1" applyBorder="1" applyAlignment="1" applyProtection="1">
      <alignment horizontal="center"/>
    </xf>
    <xf numFmtId="0" fontId="7" fillId="0" borderId="2" xfId="1" applyFont="1" applyBorder="1" applyProtection="1"/>
    <xf numFmtId="0" fontId="6" fillId="2" borderId="4" xfId="1" applyFont="1" applyFill="1" applyBorder="1" applyAlignment="1" applyProtection="1"/>
    <xf numFmtId="0" fontId="8" fillId="2" borderId="4" xfId="1" applyFont="1" applyFill="1" applyBorder="1" applyAlignment="1" applyProtection="1">
      <alignment horizontal="center"/>
    </xf>
    <xf numFmtId="0" fontId="8" fillId="2" borderId="0" xfId="1" applyFont="1" applyFill="1" applyBorder="1" applyAlignment="1" applyProtection="1">
      <alignment horizontal="center"/>
    </xf>
    <xf numFmtId="0" fontId="8" fillId="2" borderId="5" xfId="1" applyFont="1" applyFill="1" applyBorder="1" applyAlignment="1" applyProtection="1">
      <alignment horizontal="center"/>
    </xf>
    <xf numFmtId="0" fontId="7" fillId="0" borderId="0" xfId="1" applyFont="1" applyBorder="1" applyProtection="1"/>
    <xf numFmtId="0" fontId="9" fillId="2" borderId="4" xfId="1" applyFont="1" applyFill="1" applyBorder="1" applyAlignment="1" applyProtection="1">
      <alignment horizontal="center"/>
    </xf>
    <xf numFmtId="0" fontId="9" fillId="2" borderId="0" xfId="1" applyFont="1" applyFill="1" applyBorder="1" applyAlignment="1" applyProtection="1">
      <alignment horizontal="center"/>
    </xf>
    <xf numFmtId="0" fontId="9" fillId="2" borderId="5" xfId="1" applyFont="1" applyFill="1" applyBorder="1" applyAlignment="1" applyProtection="1">
      <alignment horizontal="center"/>
    </xf>
    <xf numFmtId="0" fontId="10" fillId="2" borderId="4" xfId="1" applyFont="1" applyFill="1" applyBorder="1" applyAlignment="1" applyProtection="1">
      <alignment horizontal="center" vertical="center"/>
    </xf>
    <xf numFmtId="0" fontId="10" fillId="2" borderId="0" xfId="1" applyFont="1" applyFill="1" applyBorder="1" applyAlignment="1" applyProtection="1">
      <alignment horizontal="center" vertical="center"/>
    </xf>
    <xf numFmtId="0" fontId="10" fillId="2" borderId="5" xfId="1" applyFont="1" applyFill="1" applyBorder="1" applyAlignment="1" applyProtection="1">
      <alignment horizontal="center" vertical="center"/>
    </xf>
    <xf numFmtId="0" fontId="5" fillId="2" borderId="4" xfId="1" applyFont="1" applyFill="1" applyBorder="1" applyProtection="1"/>
    <xf numFmtId="0" fontId="11" fillId="2" borderId="0" xfId="1" applyFont="1" applyFill="1" applyBorder="1" applyProtection="1"/>
    <xf numFmtId="0" fontId="12" fillId="2" borderId="0" xfId="1" applyFont="1" applyFill="1" applyBorder="1" applyAlignment="1" applyProtection="1">
      <alignment horizontal="center"/>
    </xf>
    <xf numFmtId="0" fontId="10" fillId="2" borderId="0" xfId="1" applyFont="1" applyFill="1" applyBorder="1" applyAlignment="1" applyProtection="1">
      <alignment horizontal="right" vertical="center"/>
    </xf>
    <xf numFmtId="165" fontId="10" fillId="2" borderId="5" xfId="1" applyNumberFormat="1" applyFont="1" applyFill="1" applyBorder="1" applyAlignment="1" applyProtection="1">
      <alignment horizontal="center" vertical="center"/>
    </xf>
    <xf numFmtId="0" fontId="11" fillId="0" borderId="0" xfId="1" applyFont="1" applyBorder="1" applyProtection="1"/>
    <xf numFmtId="0" fontId="13" fillId="2" borderId="4" xfId="1" applyFont="1" applyFill="1" applyBorder="1" applyAlignment="1" applyProtection="1">
      <alignment horizontal="left"/>
    </xf>
    <xf numFmtId="0" fontId="13" fillId="2" borderId="0" xfId="1" applyFont="1" applyFill="1" applyBorder="1" applyProtection="1"/>
    <xf numFmtId="166" fontId="13" fillId="2" borderId="0" xfId="1" applyNumberFormat="1" applyFont="1" applyFill="1" applyBorder="1" applyAlignment="1" applyProtection="1">
      <alignment horizontal="center"/>
    </xf>
    <xf numFmtId="0" fontId="13" fillId="2" borderId="0" xfId="1" applyFont="1" applyFill="1" applyBorder="1" applyAlignment="1" applyProtection="1">
      <alignment horizontal="center"/>
    </xf>
    <xf numFmtId="0" fontId="14" fillId="2" borderId="0" xfId="1" applyFont="1" applyFill="1" applyBorder="1" applyProtection="1"/>
    <xf numFmtId="0" fontId="13" fillId="2" borderId="5" xfId="1" applyFont="1" applyFill="1" applyBorder="1" applyAlignment="1" applyProtection="1">
      <alignment horizontal="center"/>
    </xf>
    <xf numFmtId="0" fontId="13" fillId="2" borderId="4" xfId="1" applyFont="1" applyFill="1" applyBorder="1" applyAlignment="1" applyProtection="1">
      <alignment horizontal="right"/>
    </xf>
    <xf numFmtId="0" fontId="13" fillId="2" borderId="0" xfId="1" applyFont="1" applyFill="1" applyBorder="1" applyAlignment="1" applyProtection="1"/>
    <xf numFmtId="0" fontId="13" fillId="2" borderId="0" xfId="1" applyFont="1" applyFill="1" applyBorder="1" applyAlignment="1" applyProtection="1">
      <alignment horizontal="left"/>
    </xf>
    <xf numFmtId="14" fontId="13" fillId="2" borderId="5" xfId="1" applyNumberFormat="1" applyFont="1" applyFill="1" applyBorder="1" applyAlignment="1" applyProtection="1">
      <alignment horizontal="center"/>
    </xf>
    <xf numFmtId="0" fontId="14" fillId="2" borderId="4" xfId="1" applyFont="1" applyFill="1" applyBorder="1" applyAlignment="1" applyProtection="1">
      <alignment horizontal="right"/>
    </xf>
    <xf numFmtId="0" fontId="10" fillId="2" borderId="4" xfId="1" applyFont="1" applyFill="1" applyBorder="1" applyAlignment="1" applyProtection="1">
      <alignment horizontal="left"/>
    </xf>
    <xf numFmtId="0" fontId="12" fillId="2" borderId="0" xfId="1" applyFont="1" applyFill="1" applyBorder="1" applyAlignment="1" applyProtection="1">
      <alignment horizontal="left"/>
    </xf>
    <xf numFmtId="167" fontId="12" fillId="2" borderId="0" xfId="1" applyNumberFormat="1" applyFont="1" applyFill="1" applyBorder="1" applyAlignment="1" applyProtection="1">
      <alignment horizontal="left"/>
    </xf>
    <xf numFmtId="0" fontId="15" fillId="2" borderId="0" xfId="1" applyFont="1" applyFill="1" applyBorder="1" applyProtection="1"/>
    <xf numFmtId="0" fontId="11" fillId="2" borderId="0" xfId="1" applyFont="1" applyFill="1" applyBorder="1" applyAlignment="1" applyProtection="1">
      <alignment horizontal="center"/>
    </xf>
    <xf numFmtId="0" fontId="10" fillId="2" borderId="5" xfId="1" applyFont="1" applyFill="1" applyBorder="1" applyAlignment="1" applyProtection="1">
      <alignment horizontal="center"/>
    </xf>
    <xf numFmtId="2" fontId="10" fillId="0" borderId="6" xfId="1" applyNumberFormat="1" applyFont="1" applyFill="1" applyBorder="1" applyAlignment="1" applyProtection="1">
      <alignment horizontal="center" vertical="center"/>
    </xf>
    <xf numFmtId="0" fontId="10" fillId="2" borderId="4" xfId="1" applyFont="1" applyFill="1" applyBorder="1" applyAlignment="1" applyProtection="1">
      <alignment horizontal="center"/>
    </xf>
    <xf numFmtId="0" fontId="10" fillId="2" borderId="0" xfId="1" applyFont="1" applyFill="1" applyBorder="1" applyAlignment="1" applyProtection="1">
      <alignment horizontal="left" wrapText="1"/>
    </xf>
    <xf numFmtId="0" fontId="11" fillId="2" borderId="0" xfId="1" applyFont="1" applyFill="1" applyBorder="1" applyProtection="1"/>
    <xf numFmtId="0" fontId="11" fillId="2" borderId="5" xfId="1" applyFont="1" applyFill="1" applyBorder="1" applyProtection="1"/>
    <xf numFmtId="0" fontId="7" fillId="2" borderId="7" xfId="1" applyFont="1" applyFill="1" applyBorder="1" applyProtection="1"/>
    <xf numFmtId="0" fontId="7" fillId="2" borderId="8" xfId="1" applyFont="1" applyFill="1" applyBorder="1" applyProtection="1"/>
    <xf numFmtId="0" fontId="16" fillId="2" borderId="8" xfId="1" applyFont="1" applyFill="1" applyBorder="1" applyAlignment="1" applyProtection="1">
      <alignment horizontal="center" vertical="center"/>
    </xf>
    <xf numFmtId="0" fontId="16" fillId="2" borderId="9" xfId="1" applyFont="1" applyFill="1" applyBorder="1" applyAlignment="1" applyProtection="1">
      <alignment horizontal="center" vertical="center"/>
    </xf>
    <xf numFmtId="0" fontId="16" fillId="3" borderId="10" xfId="1" applyFont="1" applyFill="1" applyBorder="1" applyAlignment="1" applyProtection="1">
      <alignment horizontal="center" vertical="center"/>
    </xf>
    <xf numFmtId="0" fontId="16" fillId="3" borderId="11" xfId="1" applyFont="1" applyFill="1" applyBorder="1" applyAlignment="1" applyProtection="1">
      <alignment horizontal="center" vertical="center" wrapText="1"/>
    </xf>
    <xf numFmtId="0" fontId="17" fillId="3" borderId="11" xfId="1" applyFont="1" applyFill="1" applyBorder="1" applyAlignment="1" applyProtection="1">
      <alignment horizontal="center" vertical="center" wrapText="1"/>
    </xf>
    <xf numFmtId="0" fontId="16" fillId="3" borderId="12" xfId="1" applyFont="1" applyFill="1" applyBorder="1" applyAlignment="1" applyProtection="1">
      <alignment horizontal="center"/>
    </xf>
    <xf numFmtId="0" fontId="7" fillId="3" borderId="0" xfId="1" applyFont="1" applyFill="1" applyBorder="1" applyProtection="1"/>
    <xf numFmtId="2" fontId="7" fillId="3" borderId="0" xfId="1" applyNumberFormat="1" applyFont="1" applyFill="1" applyBorder="1" applyProtection="1"/>
    <xf numFmtId="0" fontId="16" fillId="3" borderId="13" xfId="1" applyFont="1" applyFill="1" applyBorder="1" applyAlignment="1" applyProtection="1">
      <alignment horizontal="center" vertical="center"/>
    </xf>
    <xf numFmtId="0" fontId="16" fillId="3" borderId="14" xfId="1" applyFont="1" applyFill="1" applyBorder="1" applyAlignment="1" applyProtection="1">
      <alignment horizontal="center" vertical="center" wrapText="1"/>
    </xf>
    <xf numFmtId="0" fontId="7" fillId="3" borderId="14" xfId="1" applyFont="1" applyFill="1" applyBorder="1" applyProtection="1"/>
    <xf numFmtId="0" fontId="17" fillId="3" borderId="14" xfId="1" applyFont="1" applyFill="1" applyBorder="1" applyAlignment="1" applyProtection="1">
      <alignment horizontal="center" vertical="center" wrapText="1"/>
    </xf>
    <xf numFmtId="49" fontId="16" fillId="3" borderId="6" xfId="1" applyNumberFormat="1" applyFont="1" applyFill="1" applyBorder="1" applyAlignment="1" applyProtection="1">
      <alignment horizontal="center" vertical="center" wrapText="1"/>
    </xf>
    <xf numFmtId="0" fontId="16" fillId="3" borderId="15" xfId="1" applyFont="1" applyFill="1" applyBorder="1" applyAlignment="1" applyProtection="1">
      <alignment horizontal="center" vertical="center"/>
    </xf>
    <xf numFmtId="0" fontId="16" fillId="3" borderId="16" xfId="1" applyFont="1" applyFill="1" applyBorder="1" applyAlignment="1" applyProtection="1">
      <alignment horizontal="center" vertical="center" wrapText="1"/>
    </xf>
    <xf numFmtId="0" fontId="7" fillId="3" borderId="16" xfId="1" applyFont="1" applyFill="1" applyBorder="1" applyProtection="1"/>
    <xf numFmtId="0" fontId="17" fillId="3" borderId="16" xfId="1" applyFont="1" applyFill="1" applyBorder="1" applyAlignment="1" applyProtection="1">
      <alignment horizontal="center" vertical="center" wrapText="1"/>
    </xf>
    <xf numFmtId="49" fontId="16" fillId="3" borderId="17" xfId="1" applyNumberFormat="1" applyFont="1" applyFill="1" applyBorder="1" applyAlignment="1" applyProtection="1">
      <alignment horizontal="center" vertical="center"/>
    </xf>
    <xf numFmtId="0" fontId="16" fillId="3" borderId="18" xfId="1" applyFont="1" applyFill="1" applyBorder="1" applyAlignment="1" applyProtection="1">
      <alignment horizontal="center" vertical="center"/>
    </xf>
    <xf numFmtId="0" fontId="16" fillId="3" borderId="19" xfId="1" applyFont="1" applyFill="1" applyBorder="1" applyAlignment="1" applyProtection="1">
      <alignment horizontal="center" vertical="center"/>
    </xf>
    <xf numFmtId="49" fontId="16" fillId="3" borderId="20" xfId="1" applyNumberFormat="1" applyFont="1" applyFill="1" applyBorder="1" applyAlignment="1" applyProtection="1">
      <alignment horizontal="center" vertical="center"/>
    </xf>
    <xf numFmtId="0" fontId="6" fillId="0" borderId="21" xfId="1" applyFont="1" applyBorder="1" applyAlignment="1" applyProtection="1">
      <alignment horizontal="center" vertical="center"/>
    </xf>
    <xf numFmtId="0" fontId="6" fillId="0" borderId="22" xfId="1" applyFont="1" applyBorder="1" applyAlignment="1" applyProtection="1">
      <alignment horizontal="left" vertical="center"/>
    </xf>
    <xf numFmtId="2" fontId="6" fillId="0" borderId="22" xfId="1" applyNumberFormat="1" applyFont="1" applyBorder="1" applyAlignment="1" applyProtection="1">
      <alignment horizontal="center" vertical="center"/>
    </xf>
    <xf numFmtId="2" fontId="10" fillId="4" borderId="22" xfId="1" applyNumberFormat="1" applyFont="1" applyFill="1" applyBorder="1" applyAlignment="1" applyProtection="1">
      <alignment horizontal="center" vertical="center"/>
    </xf>
    <xf numFmtId="2" fontId="10" fillId="0" borderId="22" xfId="1" applyNumberFormat="1" applyFont="1" applyBorder="1" applyAlignment="1" applyProtection="1">
      <alignment horizontal="center" vertical="center"/>
    </xf>
    <xf numFmtId="2" fontId="10" fillId="0" borderId="23" xfId="1" applyNumberFormat="1" applyFont="1" applyBorder="1" applyAlignment="1" applyProtection="1">
      <alignment horizontal="center" vertical="center"/>
    </xf>
    <xf numFmtId="0" fontId="16" fillId="2" borderId="24" xfId="1" applyFont="1" applyFill="1" applyBorder="1" applyAlignment="1" applyProtection="1">
      <alignment horizontal="left"/>
    </xf>
    <xf numFmtId="0" fontId="6" fillId="0" borderId="13" xfId="1" applyFont="1" applyBorder="1" applyAlignment="1" applyProtection="1">
      <alignment horizontal="center" vertical="center"/>
    </xf>
    <xf numFmtId="0" fontId="6" fillId="0" borderId="14" xfId="1" applyFont="1" applyBorder="1" applyAlignment="1" applyProtection="1">
      <alignment horizontal="left" vertical="center"/>
    </xf>
    <xf numFmtId="2" fontId="6" fillId="0" borderId="14" xfId="1" applyNumberFormat="1" applyFont="1" applyBorder="1" applyAlignment="1" applyProtection="1">
      <alignment horizontal="center" vertical="center"/>
    </xf>
    <xf numFmtId="2" fontId="10" fillId="4" borderId="14" xfId="1" applyNumberFormat="1" applyFont="1" applyFill="1" applyBorder="1" applyAlignment="1" applyProtection="1">
      <alignment horizontal="center" vertical="center"/>
    </xf>
    <xf numFmtId="2" fontId="10" fillId="0" borderId="14" xfId="1" applyNumberFormat="1" applyFont="1" applyBorder="1" applyAlignment="1" applyProtection="1">
      <alignment horizontal="center" vertical="center"/>
    </xf>
    <xf numFmtId="2" fontId="10" fillId="0" borderId="25" xfId="1" applyNumberFormat="1" applyFont="1" applyBorder="1" applyAlignment="1" applyProtection="1">
      <alignment horizontal="center" vertical="center"/>
    </xf>
    <xf numFmtId="0" fontId="18" fillId="2" borderId="24" xfId="1" applyFont="1" applyFill="1" applyBorder="1" applyAlignment="1" applyProtection="1">
      <alignment horizontal="left" wrapText="1"/>
    </xf>
    <xf numFmtId="0" fontId="7" fillId="0" borderId="0" xfId="1" applyFont="1" applyBorder="1" applyAlignment="1" applyProtection="1">
      <alignment horizontal="center" vertical="center" wrapText="1"/>
    </xf>
    <xf numFmtId="2" fontId="10" fillId="0" borderId="14" xfId="1" applyNumberFormat="1" applyFont="1" applyFill="1" applyBorder="1" applyAlignment="1" applyProtection="1">
      <alignment horizontal="center" vertical="center"/>
    </xf>
    <xf numFmtId="0" fontId="7" fillId="0" borderId="0" xfId="1" applyFont="1" applyBorder="1" applyAlignment="1" applyProtection="1">
      <alignment horizontal="center"/>
    </xf>
    <xf numFmtId="2" fontId="10" fillId="5" borderId="25" xfId="1" applyNumberFormat="1" applyFont="1" applyFill="1" applyBorder="1" applyAlignment="1" applyProtection="1">
      <alignment horizontal="center" vertical="center"/>
    </xf>
    <xf numFmtId="0" fontId="16" fillId="0" borderId="0" xfId="1" applyFont="1" applyBorder="1" applyAlignment="1" applyProtection="1">
      <alignment horizontal="left" vertical="center"/>
    </xf>
    <xf numFmtId="2" fontId="10" fillId="0" borderId="25" xfId="1" applyNumberFormat="1" applyFont="1" applyFill="1" applyBorder="1" applyAlignment="1" applyProtection="1">
      <alignment horizontal="center" vertical="center"/>
    </xf>
    <xf numFmtId="2" fontId="10" fillId="5" borderId="14" xfId="1" applyNumberFormat="1" applyFont="1" applyFill="1" applyBorder="1" applyAlignment="1" applyProtection="1">
      <alignment horizontal="center" vertical="center"/>
    </xf>
    <xf numFmtId="49" fontId="6" fillId="0" borderId="14" xfId="1" applyNumberFormat="1" applyFont="1" applyBorder="1" applyAlignment="1" applyProtection="1">
      <alignment horizontal="left" vertical="center" wrapText="1"/>
    </xf>
    <xf numFmtId="0" fontId="16" fillId="0" borderId="0" xfId="1" applyFont="1" applyBorder="1" applyProtection="1"/>
    <xf numFmtId="2" fontId="7" fillId="0" borderId="0" xfId="1" applyNumberFormat="1" applyFont="1" applyBorder="1" applyProtection="1"/>
    <xf numFmtId="0" fontId="6" fillId="0" borderId="14" xfId="1" applyFont="1" applyBorder="1" applyAlignment="1" applyProtection="1">
      <alignment horizontal="left" vertical="center" wrapText="1"/>
    </xf>
    <xf numFmtId="2" fontId="6" fillId="0" borderId="26" xfId="1" applyNumberFormat="1" applyFont="1" applyBorder="1" applyAlignment="1" applyProtection="1">
      <alignment horizontal="center" vertical="center"/>
    </xf>
    <xf numFmtId="0" fontId="16" fillId="2" borderId="24" xfId="1" applyFont="1" applyFill="1" applyBorder="1" applyAlignment="1" applyProtection="1">
      <alignment horizontal="left" vertical="center"/>
    </xf>
    <xf numFmtId="0" fontId="6" fillId="0" borderId="27" xfId="1" applyFont="1" applyBorder="1" applyAlignment="1" applyProtection="1">
      <alignment horizontal="left" vertical="center" wrapText="1"/>
    </xf>
    <xf numFmtId="0" fontId="6" fillId="2" borderId="27" xfId="1" applyFont="1" applyFill="1" applyBorder="1" applyAlignment="1" applyProtection="1">
      <alignment horizontal="left" vertical="center"/>
    </xf>
    <xf numFmtId="0" fontId="6" fillId="2" borderId="28" xfId="1" applyFont="1" applyFill="1" applyBorder="1" applyAlignment="1" applyProtection="1">
      <alignment horizontal="left" vertical="center"/>
    </xf>
    <xf numFmtId="0" fontId="10" fillId="2" borderId="28" xfId="1" applyFont="1" applyFill="1" applyBorder="1" applyAlignment="1" applyProtection="1">
      <alignment horizontal="left" vertical="center"/>
    </xf>
    <xf numFmtId="0" fontId="6" fillId="2" borderId="26" xfId="1" applyFont="1" applyFill="1" applyBorder="1" applyAlignment="1" applyProtection="1">
      <alignment horizontal="center" vertical="center"/>
    </xf>
    <xf numFmtId="49" fontId="6" fillId="0" borderId="24" xfId="1" applyNumberFormat="1" applyFont="1" applyBorder="1" applyAlignment="1" applyProtection="1">
      <alignment horizontal="center" vertical="top" wrapText="1"/>
    </xf>
    <xf numFmtId="0" fontId="6" fillId="0" borderId="29" xfId="1" applyFont="1" applyBorder="1" applyAlignment="1" applyProtection="1">
      <alignment horizontal="center" vertical="center"/>
    </xf>
    <xf numFmtId="0" fontId="5" fillId="2" borderId="23" xfId="1" applyFont="1" applyFill="1" applyBorder="1" applyProtection="1"/>
    <xf numFmtId="0" fontId="5" fillId="2" borderId="30" xfId="1" applyFont="1" applyFill="1" applyBorder="1" applyProtection="1"/>
    <xf numFmtId="0" fontId="11" fillId="2" borderId="30" xfId="1" applyFont="1" applyFill="1" applyBorder="1" applyProtection="1"/>
    <xf numFmtId="0" fontId="6" fillId="2" borderId="22" xfId="1" applyFont="1" applyFill="1" applyBorder="1" applyAlignment="1" applyProtection="1">
      <alignment horizontal="center" vertical="center"/>
    </xf>
    <xf numFmtId="0" fontId="11" fillId="2" borderId="31" xfId="1" applyFont="1" applyFill="1" applyBorder="1" applyProtection="1"/>
    <xf numFmtId="49" fontId="6" fillId="0" borderId="32" xfId="1" applyNumberFormat="1" applyFont="1" applyBorder="1" applyAlignment="1" applyProtection="1">
      <alignment horizontal="center" vertical="top" wrapText="1"/>
    </xf>
    <xf numFmtId="0" fontId="6" fillId="0" borderId="33" xfId="1" applyFont="1" applyBorder="1" applyAlignment="1" applyProtection="1">
      <alignment horizontal="center" vertical="center"/>
    </xf>
    <xf numFmtId="0" fontId="6" fillId="0" borderId="26" xfId="1" applyFont="1" applyBorder="1" applyAlignment="1" applyProtection="1">
      <alignment horizontal="left" vertical="center" wrapText="1"/>
    </xf>
    <xf numFmtId="2" fontId="6" fillId="0" borderId="34" xfId="1" applyNumberFormat="1" applyFont="1" applyBorder="1" applyAlignment="1" applyProtection="1">
      <alignment horizontal="center" vertical="center"/>
    </xf>
    <xf numFmtId="2" fontId="6" fillId="0" borderId="22" xfId="1" applyNumberFormat="1" applyFont="1" applyBorder="1" applyAlignment="1" applyProtection="1">
      <alignment horizontal="center" vertical="center" wrapText="1"/>
    </xf>
    <xf numFmtId="2" fontId="10" fillId="0" borderId="22" xfId="1" applyNumberFormat="1" applyFont="1" applyBorder="1" applyAlignment="1" applyProtection="1">
      <alignment horizontal="center" vertical="center" wrapText="1"/>
    </xf>
    <xf numFmtId="1" fontId="10" fillId="0" borderId="34" xfId="1" applyNumberFormat="1" applyFont="1" applyFill="1" applyBorder="1" applyAlignment="1" applyProtection="1">
      <alignment horizontal="center" vertical="center"/>
    </xf>
    <xf numFmtId="2" fontId="10" fillId="0" borderId="6" xfId="1" applyNumberFormat="1" applyFont="1" applyFill="1" applyBorder="1" applyAlignment="1" applyProtection="1">
      <alignment horizontal="center" vertical="center" wrapText="1"/>
    </xf>
    <xf numFmtId="0" fontId="6" fillId="0" borderId="21" xfId="1" applyFont="1" applyBorder="1" applyAlignment="1" applyProtection="1">
      <alignment horizontal="center" vertical="center"/>
    </xf>
    <xf numFmtId="2" fontId="6" fillId="0" borderId="22" xfId="1" applyNumberFormat="1" applyFont="1" applyBorder="1" applyAlignment="1" applyProtection="1">
      <alignment horizontal="center" vertical="center"/>
    </xf>
    <xf numFmtId="2" fontId="6" fillId="0" borderId="14" xfId="1" applyNumberFormat="1" applyFont="1" applyBorder="1" applyAlignment="1" applyProtection="1">
      <alignment horizontal="center" vertical="center" wrapText="1"/>
    </xf>
    <xf numFmtId="1" fontId="10" fillId="0" borderId="22" xfId="1" applyNumberFormat="1" applyFont="1" applyFill="1" applyBorder="1" applyAlignment="1" applyProtection="1">
      <alignment horizontal="center" vertical="center"/>
    </xf>
    <xf numFmtId="49" fontId="6" fillId="0" borderId="6" xfId="1" applyNumberFormat="1" applyFont="1" applyBorder="1" applyAlignment="1" applyProtection="1">
      <alignment horizontal="center" vertical="top" wrapText="1"/>
    </xf>
    <xf numFmtId="0" fontId="6" fillId="0" borderId="29" xfId="1" applyFont="1" applyFill="1" applyBorder="1" applyAlignment="1" applyProtection="1">
      <alignment horizontal="center" vertical="center"/>
    </xf>
    <xf numFmtId="0" fontId="6" fillId="0" borderId="26" xfId="1" applyFont="1" applyBorder="1" applyAlignment="1" applyProtection="1">
      <alignment horizontal="left" vertical="center" wrapText="1"/>
    </xf>
    <xf numFmtId="2" fontId="6" fillId="0" borderId="26" xfId="1" applyNumberFormat="1" applyFont="1" applyBorder="1" applyAlignment="1" applyProtection="1">
      <alignment horizontal="center" vertical="center"/>
    </xf>
    <xf numFmtId="2" fontId="6" fillId="0" borderId="26" xfId="1" applyNumberFormat="1" applyFont="1" applyBorder="1" applyAlignment="1" applyProtection="1">
      <alignment horizontal="center" vertical="center" wrapText="1"/>
    </xf>
    <xf numFmtId="2" fontId="10" fillId="0" borderId="26" xfId="1" applyNumberFormat="1" applyFont="1" applyBorder="1" applyAlignment="1" applyProtection="1">
      <alignment horizontal="center" vertical="center"/>
    </xf>
    <xf numFmtId="2" fontId="10" fillId="0" borderId="35" xfId="1" applyNumberFormat="1" applyFont="1" applyFill="1" applyBorder="1" applyAlignment="1" applyProtection="1">
      <alignment horizontal="center" vertical="center" wrapText="1"/>
    </xf>
    <xf numFmtId="0" fontId="6" fillId="0" borderId="21" xfId="1" applyFont="1" applyFill="1" applyBorder="1" applyAlignment="1" applyProtection="1">
      <alignment horizontal="center" vertical="center"/>
    </xf>
    <xf numFmtId="0" fontId="6" fillId="0" borderId="22" xfId="1" applyFont="1" applyBorder="1" applyAlignment="1" applyProtection="1">
      <alignment horizontal="left" vertical="center" wrapText="1"/>
    </xf>
    <xf numFmtId="2" fontId="6" fillId="0" borderId="22" xfId="1" applyNumberFormat="1" applyFont="1" applyBorder="1" applyAlignment="1" applyProtection="1">
      <alignment horizontal="center" vertical="center" wrapText="1"/>
    </xf>
    <xf numFmtId="2" fontId="10" fillId="0" borderId="22" xfId="1" applyNumberFormat="1" applyFont="1" applyBorder="1" applyAlignment="1" applyProtection="1">
      <alignment horizontal="center" vertical="center"/>
    </xf>
    <xf numFmtId="2" fontId="10" fillId="0" borderId="23" xfId="1" applyNumberFormat="1" applyFont="1" applyBorder="1" applyAlignment="1" applyProtection="1">
      <alignment horizontal="center" vertical="center"/>
    </xf>
    <xf numFmtId="0" fontId="6" fillId="2" borderId="35" xfId="1" applyFont="1" applyFill="1" applyBorder="1" applyAlignment="1" applyProtection="1">
      <alignment horizontal="center" vertical="center" wrapText="1"/>
    </xf>
    <xf numFmtId="2" fontId="10" fillId="0" borderId="26" xfId="1" applyNumberFormat="1" applyFont="1" applyBorder="1" applyAlignment="1" applyProtection="1">
      <alignment horizontal="center" vertical="center"/>
    </xf>
    <xf numFmtId="0" fontId="6" fillId="2" borderId="24" xfId="1" applyFont="1" applyFill="1" applyBorder="1" applyAlignment="1" applyProtection="1">
      <alignment horizontal="center" vertical="center" wrapText="1"/>
    </xf>
    <xf numFmtId="2" fontId="6" fillId="0" borderId="25" xfId="1" applyNumberFormat="1" applyFont="1" applyBorder="1" applyAlignment="1" applyProtection="1">
      <alignment horizontal="center" vertical="center"/>
    </xf>
    <xf numFmtId="2" fontId="19" fillId="6" borderId="14" xfId="1" applyNumberFormat="1" applyFont="1" applyFill="1" applyBorder="1" applyAlignment="1" applyProtection="1">
      <alignment horizontal="center" vertical="center"/>
      <protection locked="0"/>
    </xf>
    <xf numFmtId="0" fontId="6" fillId="2" borderId="32" xfId="1" applyFont="1" applyFill="1" applyBorder="1" applyAlignment="1" applyProtection="1">
      <alignment horizontal="center" vertical="center" wrapText="1"/>
    </xf>
    <xf numFmtId="0" fontId="6" fillId="0" borderId="36" xfId="1" applyFont="1" applyBorder="1" applyAlignment="1" applyProtection="1">
      <alignment horizontal="center" vertical="center"/>
    </xf>
    <xf numFmtId="2" fontId="6" fillId="0" borderId="37" xfId="1" quotePrefix="1" applyNumberFormat="1" applyFont="1" applyBorder="1" applyAlignment="1" applyProtection="1">
      <alignment horizontal="center" vertical="center"/>
    </xf>
    <xf numFmtId="2" fontId="19" fillId="2" borderId="14" xfId="1" applyNumberFormat="1" applyFont="1" applyFill="1" applyBorder="1" applyAlignment="1" applyProtection="1">
      <alignment horizontal="center" vertical="center"/>
      <protection locked="0"/>
    </xf>
    <xf numFmtId="2" fontId="10" fillId="2" borderId="32" xfId="1" applyNumberFormat="1" applyFont="1" applyFill="1" applyBorder="1" applyAlignment="1" applyProtection="1">
      <alignment horizontal="center" vertical="center"/>
    </xf>
    <xf numFmtId="0" fontId="7" fillId="0" borderId="0" xfId="1" applyFont="1" applyBorder="1" applyAlignment="1" applyProtection="1">
      <alignment horizontal="right"/>
    </xf>
    <xf numFmtId="2" fontId="7" fillId="0" borderId="0" xfId="1" quotePrefix="1" applyNumberFormat="1" applyFont="1" applyBorder="1" applyProtection="1"/>
    <xf numFmtId="0" fontId="16" fillId="3" borderId="36" xfId="1" applyFont="1" applyFill="1" applyBorder="1" applyAlignment="1" applyProtection="1">
      <alignment vertical="center"/>
    </xf>
    <xf numFmtId="0" fontId="6" fillId="3" borderId="25" xfId="1" applyFont="1" applyFill="1" applyBorder="1" applyAlignment="1" applyProtection="1">
      <alignment vertical="center"/>
    </xf>
    <xf numFmtId="0" fontId="16" fillId="3" borderId="37" xfId="1" applyFont="1" applyFill="1" applyBorder="1" applyAlignment="1" applyProtection="1">
      <alignment vertical="center"/>
    </xf>
    <xf numFmtId="0" fontId="16" fillId="3" borderId="28" xfId="1" applyFont="1" applyFill="1" applyBorder="1" applyAlignment="1" applyProtection="1">
      <alignment vertical="center"/>
    </xf>
    <xf numFmtId="0" fontId="16" fillId="3" borderId="38" xfId="1" applyFont="1" applyFill="1" applyBorder="1" applyAlignment="1" applyProtection="1">
      <alignment vertical="center"/>
    </xf>
    <xf numFmtId="0" fontId="6" fillId="3" borderId="32" xfId="1" applyFont="1" applyFill="1" applyBorder="1" applyAlignment="1" applyProtection="1">
      <alignment horizontal="center" vertical="center"/>
    </xf>
    <xf numFmtId="0" fontId="16" fillId="0" borderId="0" xfId="1" applyFont="1" applyBorder="1" applyAlignment="1" applyProtection="1">
      <alignment horizontal="center" vertical="center"/>
    </xf>
    <xf numFmtId="0" fontId="5" fillId="0" borderId="13" xfId="1" applyFont="1" applyBorder="1" applyAlignment="1" applyProtection="1">
      <alignment horizontal="center" vertical="center"/>
    </xf>
    <xf numFmtId="0" fontId="6" fillId="0" borderId="25" xfId="1" applyFont="1" applyBorder="1" applyAlignment="1" applyProtection="1">
      <alignment horizontal="left" vertical="center" wrapText="1"/>
    </xf>
    <xf numFmtId="0" fontId="6" fillId="0" borderId="38" xfId="1" applyFont="1" applyBorder="1" applyAlignment="1" applyProtection="1">
      <alignment horizontal="left" vertical="center" wrapText="1"/>
    </xf>
    <xf numFmtId="0" fontId="5" fillId="0" borderId="26" xfId="1" applyFont="1" applyBorder="1" applyAlignment="1" applyProtection="1">
      <alignment horizontal="center" vertical="center"/>
    </xf>
    <xf numFmtId="0" fontId="16" fillId="3" borderId="25" xfId="1" applyFont="1" applyFill="1" applyBorder="1" applyAlignment="1" applyProtection="1">
      <alignment horizontal="center" vertical="center" wrapText="1"/>
    </xf>
    <xf numFmtId="0" fontId="16" fillId="3" borderId="38" xfId="1" applyFont="1" applyFill="1" applyBorder="1" applyAlignment="1" applyProtection="1">
      <alignment horizontal="center" vertical="center" wrapText="1"/>
    </xf>
    <xf numFmtId="2" fontId="16" fillId="3" borderId="14" xfId="1" applyNumberFormat="1" applyFont="1" applyFill="1" applyBorder="1" applyAlignment="1" applyProtection="1">
      <alignment horizontal="center" vertical="center"/>
    </xf>
    <xf numFmtId="2" fontId="16" fillId="3" borderId="6" xfId="1" applyNumberFormat="1" applyFont="1" applyFill="1" applyBorder="1" applyAlignment="1" applyProtection="1">
      <alignment horizontal="center" vertical="center"/>
    </xf>
    <xf numFmtId="0" fontId="20" fillId="0" borderId="0" xfId="2" applyBorder="1" applyAlignment="1" applyProtection="1"/>
    <xf numFmtId="0" fontId="6" fillId="0" borderId="14" xfId="1" applyFont="1" applyBorder="1" applyAlignment="1" applyProtection="1">
      <alignment horizontal="left" vertical="center" wrapText="1"/>
    </xf>
    <xf numFmtId="0" fontId="7" fillId="5" borderId="26" xfId="1" applyFont="1" applyFill="1" applyBorder="1" applyAlignment="1" applyProtection="1">
      <alignment horizontal="center" vertical="center"/>
    </xf>
    <xf numFmtId="0" fontId="6" fillId="0" borderId="38" xfId="1" applyFont="1" applyBorder="1" applyAlignment="1" applyProtection="1">
      <alignment horizontal="center" vertical="center" wrapText="1"/>
    </xf>
    <xf numFmtId="2" fontId="21" fillId="0" borderId="14" xfId="1" applyNumberFormat="1" applyFont="1" applyBorder="1" applyAlignment="1" applyProtection="1">
      <alignment horizontal="left" vertical="center"/>
    </xf>
    <xf numFmtId="2" fontId="16" fillId="0" borderId="14" xfId="1" applyNumberFormat="1" applyFont="1" applyBorder="1" applyAlignment="1" applyProtection="1">
      <alignment horizontal="center" vertical="center"/>
    </xf>
    <xf numFmtId="0" fontId="6" fillId="0" borderId="25" xfId="1" applyFont="1" applyBorder="1" applyAlignment="1" applyProtection="1">
      <alignment horizontal="left" vertical="center" wrapText="1"/>
    </xf>
    <xf numFmtId="0" fontId="6" fillId="0" borderId="38" xfId="1" applyFont="1" applyBorder="1" applyAlignment="1" applyProtection="1">
      <alignment horizontal="left" vertical="center" wrapText="1"/>
    </xf>
    <xf numFmtId="0" fontId="7" fillId="5" borderId="34" xfId="1" applyFont="1" applyFill="1" applyBorder="1" applyAlignment="1" applyProtection="1">
      <alignment horizontal="center" vertical="center"/>
    </xf>
    <xf numFmtId="2" fontId="21" fillId="0" borderId="26" xfId="1" applyNumberFormat="1" applyFont="1" applyBorder="1" applyAlignment="1" applyProtection="1">
      <alignment horizontal="left" vertical="center"/>
    </xf>
    <xf numFmtId="2" fontId="16" fillId="0" borderId="26" xfId="1" applyNumberFormat="1" applyFont="1" applyBorder="1" applyAlignment="1" applyProtection="1">
      <alignment horizontal="center" vertical="center"/>
    </xf>
    <xf numFmtId="2" fontId="10" fillId="0" borderId="35" xfId="1" applyNumberFormat="1" applyFont="1" applyFill="1" applyBorder="1" applyAlignment="1" applyProtection="1">
      <alignment horizontal="center" vertical="center"/>
    </xf>
    <xf numFmtId="0" fontId="6" fillId="0" borderId="37" xfId="1" applyFont="1" applyBorder="1" applyAlignment="1" applyProtection="1">
      <alignment horizontal="center" vertical="center" wrapText="1"/>
    </xf>
    <xf numFmtId="0" fontId="6" fillId="0" borderId="25" xfId="1" applyFont="1" applyBorder="1" applyAlignment="1" applyProtection="1">
      <alignment horizontal="left" vertical="center"/>
    </xf>
    <xf numFmtId="0" fontId="6" fillId="0" borderId="37" xfId="1" applyFont="1" applyBorder="1" applyAlignment="1" applyProtection="1">
      <alignment horizontal="left" vertical="center"/>
    </xf>
    <xf numFmtId="2" fontId="10" fillId="0" borderId="39" xfId="1" applyNumberFormat="1" applyFont="1" applyFill="1" applyBorder="1" applyAlignment="1" applyProtection="1">
      <alignment horizontal="center" vertical="center"/>
    </xf>
    <xf numFmtId="0" fontId="6" fillId="3" borderId="25" xfId="1" applyFont="1" applyFill="1" applyBorder="1" applyAlignment="1" applyProtection="1">
      <alignment horizontal="left" vertical="center" wrapText="1"/>
    </xf>
    <xf numFmtId="0" fontId="5" fillId="0" borderId="38" xfId="1" applyFont="1" applyBorder="1" applyAlignment="1" applyProtection="1">
      <alignment horizontal="center" vertical="center" wrapText="1"/>
    </xf>
    <xf numFmtId="2" fontId="10" fillId="0" borderId="32" xfId="1" applyNumberFormat="1" applyFont="1" applyFill="1" applyBorder="1" applyAlignment="1" applyProtection="1">
      <alignment horizontal="center" vertical="center"/>
    </xf>
    <xf numFmtId="0" fontId="5" fillId="5" borderId="34" xfId="1" applyFont="1" applyFill="1" applyBorder="1" applyAlignment="1" applyProtection="1">
      <alignment horizontal="center" vertical="center"/>
    </xf>
    <xf numFmtId="2" fontId="7" fillId="0" borderId="0" xfId="1" applyNumberFormat="1" applyFont="1" applyBorder="1" applyAlignment="1" applyProtection="1">
      <alignment horizontal="center"/>
    </xf>
    <xf numFmtId="2" fontId="22" fillId="0" borderId="0" xfId="1" applyNumberFormat="1" applyFont="1" applyFill="1" applyBorder="1" applyAlignment="1" applyProtection="1">
      <alignment horizontal="left" vertical="center"/>
    </xf>
    <xf numFmtId="0" fontId="6" fillId="0" borderId="25" xfId="1" applyFont="1" applyFill="1" applyBorder="1" applyAlignment="1" applyProtection="1">
      <alignment horizontal="left" vertical="center" wrapText="1"/>
    </xf>
    <xf numFmtId="0" fontId="6" fillId="0" borderId="38" xfId="1" applyFont="1" applyFill="1" applyBorder="1" applyAlignment="1" applyProtection="1">
      <alignment horizontal="left" vertical="center" wrapText="1"/>
    </xf>
    <xf numFmtId="0" fontId="5" fillId="5" borderId="34" xfId="1" applyFont="1" applyFill="1" applyBorder="1" applyAlignment="1" applyProtection="1">
      <alignment horizontal="center" vertical="center"/>
    </xf>
    <xf numFmtId="0" fontId="5" fillId="0" borderId="0" xfId="1" applyFont="1" applyBorder="1" applyProtection="1"/>
    <xf numFmtId="0" fontId="23" fillId="0" borderId="25" xfId="1" applyFont="1" applyFill="1" applyBorder="1" applyAlignment="1" applyProtection="1">
      <alignment horizontal="left" vertical="center" wrapText="1"/>
    </xf>
    <xf numFmtId="0" fontId="23" fillId="0" borderId="38" xfId="1" applyFont="1" applyFill="1" applyBorder="1" applyAlignment="1" applyProtection="1">
      <alignment horizontal="left" vertical="center" wrapText="1"/>
    </xf>
    <xf numFmtId="0" fontId="6" fillId="7" borderId="25" xfId="1" applyFont="1" applyFill="1" applyBorder="1" applyAlignment="1" applyProtection="1">
      <alignment horizontal="left" vertical="center" wrapText="1"/>
    </xf>
    <xf numFmtId="0" fontId="6" fillId="7" borderId="38" xfId="1" applyFont="1" applyFill="1" applyBorder="1" applyAlignment="1" applyProtection="1">
      <alignment horizontal="left" vertical="center" wrapText="1"/>
    </xf>
    <xf numFmtId="0" fontId="6" fillId="0" borderId="25" xfId="1" applyFont="1" applyBorder="1" applyAlignment="1" applyProtection="1">
      <alignment horizontal="left" vertical="top" wrapText="1"/>
    </xf>
    <xf numFmtId="0" fontId="6" fillId="0" borderId="38" xfId="1" applyFont="1" applyBorder="1" applyAlignment="1" applyProtection="1">
      <alignment horizontal="left" vertical="top" wrapText="1"/>
    </xf>
    <xf numFmtId="168" fontId="10" fillId="0" borderId="25" xfId="1" quotePrefix="1" applyNumberFormat="1" applyFont="1" applyBorder="1" applyAlignment="1" applyProtection="1">
      <alignment horizontal="center" vertical="center"/>
    </xf>
    <xf numFmtId="0" fontId="24" fillId="5" borderId="34" xfId="1" quotePrefix="1" applyFont="1" applyFill="1" applyBorder="1" applyAlignment="1" applyProtection="1">
      <alignment horizontal="center" vertical="center"/>
    </xf>
    <xf numFmtId="0" fontId="7" fillId="0" borderId="0" xfId="1" quotePrefix="1" applyFont="1" applyBorder="1" applyProtection="1"/>
    <xf numFmtId="0" fontId="6" fillId="0" borderId="14" xfId="1" applyFont="1" applyFill="1" applyBorder="1" applyAlignment="1" applyProtection="1">
      <alignment horizontal="left" vertical="center" wrapText="1"/>
    </xf>
    <xf numFmtId="0" fontId="6" fillId="3" borderId="40" xfId="1" applyFont="1" applyFill="1" applyBorder="1" applyAlignment="1" applyProtection="1">
      <alignment horizontal="left" vertical="center" wrapText="1"/>
    </xf>
    <xf numFmtId="2" fontId="6" fillId="3" borderId="14" xfId="1" applyNumberFormat="1" applyFont="1" applyFill="1" applyBorder="1" applyAlignment="1" applyProtection="1">
      <alignment horizontal="center" vertical="center"/>
    </xf>
    <xf numFmtId="2" fontId="21" fillId="3" borderId="14" xfId="1" applyNumberFormat="1" applyFont="1" applyFill="1" applyBorder="1" applyAlignment="1" applyProtection="1">
      <alignment horizontal="center" vertical="center"/>
    </xf>
    <xf numFmtId="169" fontId="25" fillId="0" borderId="0" xfId="1" applyNumberFormat="1" applyFont="1" applyBorder="1" applyProtection="1"/>
    <xf numFmtId="0" fontId="16" fillId="0" borderId="0" xfId="1" applyFont="1" applyBorder="1" applyAlignment="1" applyProtection="1"/>
    <xf numFmtId="0" fontId="16" fillId="0" borderId="0" xfId="1" applyFont="1" applyBorder="1" applyAlignment="1" applyProtection="1">
      <alignment vertical="center"/>
    </xf>
    <xf numFmtId="0" fontId="26" fillId="0" borderId="14" xfId="1" applyFont="1" applyBorder="1" applyAlignment="1" applyProtection="1">
      <alignment horizontal="center" vertical="center"/>
    </xf>
    <xf numFmtId="0" fontId="5" fillId="0" borderId="14" xfId="1" applyFont="1" applyBorder="1" applyAlignment="1" applyProtection="1">
      <alignment horizontal="center" vertical="center"/>
    </xf>
    <xf numFmtId="0" fontId="6" fillId="3" borderId="14" xfId="1" applyFont="1" applyFill="1" applyBorder="1" applyAlignment="1" applyProtection="1">
      <alignment horizontal="left" vertical="center" wrapText="1"/>
    </xf>
    <xf numFmtId="2" fontId="6" fillId="3" borderId="14" xfId="1" applyNumberFormat="1" applyFont="1" applyFill="1" applyBorder="1" applyAlignment="1" applyProtection="1">
      <alignment horizontal="center" vertical="center" wrapText="1"/>
    </xf>
    <xf numFmtId="2" fontId="10" fillId="3" borderId="6" xfId="1" applyNumberFormat="1" applyFont="1" applyFill="1" applyBorder="1" applyAlignment="1" applyProtection="1">
      <alignment horizontal="center" vertical="center"/>
    </xf>
    <xf numFmtId="2" fontId="27" fillId="8" borderId="14" xfId="1" applyNumberFormat="1" applyFont="1" applyFill="1" applyBorder="1" applyAlignment="1" applyProtection="1">
      <alignment horizontal="center" vertical="center"/>
    </xf>
    <xf numFmtId="2" fontId="28" fillId="0" borderId="14" xfId="1" applyNumberFormat="1" applyFont="1" applyBorder="1" applyAlignment="1" applyProtection="1">
      <alignment horizontal="center" vertical="center"/>
    </xf>
    <xf numFmtId="2" fontId="28" fillId="8" borderId="14" xfId="1" applyNumberFormat="1" applyFont="1" applyFill="1" applyBorder="1" applyAlignment="1" applyProtection="1">
      <alignment horizontal="center" vertical="center"/>
    </xf>
    <xf numFmtId="0" fontId="6" fillId="0" borderId="14" xfId="1" applyFont="1" applyBorder="1" applyAlignment="1" applyProtection="1">
      <alignment vertical="center"/>
    </xf>
    <xf numFmtId="2" fontId="10" fillId="0" borderId="6" xfId="1" applyNumberFormat="1" applyFont="1" applyBorder="1" applyAlignment="1" applyProtection="1">
      <alignment horizontal="center" vertical="center"/>
    </xf>
    <xf numFmtId="0" fontId="7" fillId="0" borderId="0" xfId="1" applyFont="1" applyBorder="1" applyAlignment="1" applyProtection="1">
      <alignment vertical="center" wrapText="1"/>
    </xf>
    <xf numFmtId="0" fontId="7" fillId="0" borderId="0" xfId="1" applyFont="1" applyBorder="1" applyAlignment="1" applyProtection="1">
      <alignment wrapText="1"/>
    </xf>
    <xf numFmtId="0" fontId="6" fillId="0" borderId="37" xfId="1" applyFont="1" applyBorder="1" applyAlignment="1" applyProtection="1">
      <alignment horizontal="left" vertical="center" wrapText="1"/>
    </xf>
    <xf numFmtId="0" fontId="16" fillId="0" borderId="38" xfId="1" applyFont="1" applyBorder="1" applyAlignment="1" applyProtection="1">
      <alignment horizontal="left" vertical="center" wrapText="1"/>
    </xf>
    <xf numFmtId="1" fontId="10" fillId="0" borderId="6" xfId="1" applyNumberFormat="1" applyFont="1" applyFill="1" applyBorder="1" applyAlignment="1" applyProtection="1">
      <alignment horizontal="center" vertical="center"/>
    </xf>
    <xf numFmtId="0" fontId="7" fillId="0" borderId="0" xfId="1" applyFont="1" applyBorder="1" applyAlignment="1" applyProtection="1">
      <alignment horizontal="left" vertical="center"/>
    </xf>
    <xf numFmtId="0" fontId="5" fillId="0" borderId="26" xfId="1" applyFont="1" applyBorder="1" applyAlignment="1" applyProtection="1">
      <alignment horizontal="center" vertical="center"/>
    </xf>
    <xf numFmtId="0" fontId="6" fillId="3" borderId="38" xfId="1" applyFont="1" applyFill="1" applyBorder="1" applyAlignment="1" applyProtection="1">
      <alignment horizontal="center" vertical="center" wrapText="1"/>
    </xf>
    <xf numFmtId="0" fontId="5" fillId="0" borderId="34" xfId="1" applyFont="1" applyBorder="1" applyAlignment="1" applyProtection="1">
      <alignment horizontal="center" vertical="center"/>
    </xf>
    <xf numFmtId="0" fontId="6" fillId="0" borderId="25" xfId="1" quotePrefix="1" applyFont="1" applyBorder="1" applyAlignment="1" applyProtection="1">
      <alignment horizontal="left" vertical="center" wrapText="1"/>
    </xf>
    <xf numFmtId="2" fontId="10" fillId="0" borderId="6" xfId="1" quotePrefix="1" applyNumberFormat="1" applyFont="1" applyFill="1" applyBorder="1" applyAlignment="1" applyProtection="1">
      <alignment horizontal="center" vertical="center"/>
    </xf>
    <xf numFmtId="0" fontId="16" fillId="0" borderId="0" xfId="1" applyFont="1" applyBorder="1" applyAlignment="1" applyProtection="1">
      <alignment horizontal="left"/>
    </xf>
    <xf numFmtId="0" fontId="6" fillId="3" borderId="14" xfId="1" applyFont="1" applyFill="1" applyBorder="1" applyAlignment="1" applyProtection="1">
      <alignment horizontal="left" vertical="center" wrapText="1"/>
    </xf>
    <xf numFmtId="2" fontId="10" fillId="3" borderId="14" xfId="1" applyNumberFormat="1" applyFont="1" applyFill="1" applyBorder="1" applyAlignment="1" applyProtection="1">
      <alignment horizontal="center" vertical="center"/>
    </xf>
    <xf numFmtId="0" fontId="5" fillId="0" borderId="22" xfId="1" applyFont="1" applyBorder="1" applyAlignment="1" applyProtection="1">
      <alignment horizontal="center" vertical="center"/>
    </xf>
    <xf numFmtId="0" fontId="6" fillId="3" borderId="28" xfId="1" applyFont="1" applyFill="1" applyBorder="1" applyAlignment="1" applyProtection="1">
      <alignment horizontal="center" vertical="center" wrapText="1"/>
    </xf>
    <xf numFmtId="0" fontId="6" fillId="0" borderId="27" xfId="1" applyFont="1" applyBorder="1" applyAlignment="1" applyProtection="1">
      <alignment horizontal="left" vertical="center" wrapText="1"/>
    </xf>
    <xf numFmtId="0" fontId="6" fillId="0" borderId="28" xfId="1" applyFont="1" applyBorder="1" applyAlignment="1" applyProtection="1">
      <alignment horizontal="left" vertical="center" wrapText="1"/>
    </xf>
    <xf numFmtId="0" fontId="5" fillId="0" borderId="0" xfId="1" applyFont="1" applyBorder="1" applyAlignment="1" applyProtection="1">
      <alignment horizontal="center" vertical="center"/>
    </xf>
    <xf numFmtId="0" fontId="6" fillId="3" borderId="41" xfId="1" applyFont="1" applyFill="1" applyBorder="1" applyAlignment="1" applyProtection="1">
      <alignment horizontal="center" vertical="center" wrapText="1"/>
    </xf>
    <xf numFmtId="0" fontId="6" fillId="3" borderId="42" xfId="1" applyFont="1" applyFill="1" applyBorder="1" applyAlignment="1" applyProtection="1">
      <alignment horizontal="center" vertical="center" wrapText="1"/>
    </xf>
    <xf numFmtId="2" fontId="10" fillId="0" borderId="43" xfId="1" applyNumberFormat="1" applyFont="1" applyFill="1" applyBorder="1" applyAlignment="1" applyProtection="1">
      <alignment horizontal="center" vertical="center"/>
    </xf>
    <xf numFmtId="0" fontId="6" fillId="3" borderId="0" xfId="1" applyFont="1" applyFill="1" applyBorder="1" applyAlignment="1" applyProtection="1">
      <alignment horizontal="center" vertical="center" wrapText="1"/>
    </xf>
    <xf numFmtId="0" fontId="6" fillId="0" borderId="0" xfId="1" applyFont="1" applyBorder="1" applyAlignment="1" applyProtection="1">
      <alignment horizontal="left" vertical="center" wrapText="1"/>
    </xf>
    <xf numFmtId="2" fontId="10" fillId="0" borderId="5" xfId="1" applyNumberFormat="1" applyFont="1" applyFill="1" applyBorder="1" applyAlignment="1" applyProtection="1">
      <alignment horizontal="center" vertical="center"/>
    </xf>
    <xf numFmtId="0" fontId="18" fillId="0" borderId="4" xfId="1" applyFont="1" applyBorder="1" applyAlignment="1" applyProtection="1">
      <alignment vertical="top"/>
    </xf>
    <xf numFmtId="0" fontId="21" fillId="0" borderId="0" xfId="1" applyFont="1" applyBorder="1" applyAlignment="1" applyProtection="1">
      <alignment vertical="top"/>
    </xf>
    <xf numFmtId="0" fontId="18" fillId="0" borderId="0" xfId="1" applyFont="1" applyBorder="1" applyAlignment="1" applyProtection="1">
      <alignment horizontal="left" vertical="center"/>
    </xf>
    <xf numFmtId="2" fontId="18" fillId="0" borderId="0" xfId="1" applyNumberFormat="1" applyFont="1" applyBorder="1" applyAlignment="1" applyProtection="1">
      <alignment horizontal="left"/>
    </xf>
    <xf numFmtId="0" fontId="6" fillId="0" borderId="0" xfId="1" applyFont="1" applyBorder="1" applyAlignment="1" applyProtection="1">
      <alignment horizontal="left" vertical="top" wrapText="1"/>
    </xf>
    <xf numFmtId="0" fontId="29" fillId="0" borderId="5" xfId="1" applyFont="1" applyFill="1" applyBorder="1" applyAlignment="1" applyProtection="1">
      <alignment horizontal="center" wrapText="1"/>
    </xf>
    <xf numFmtId="0" fontId="7" fillId="0" borderId="0" xfId="1" applyFont="1" applyBorder="1" applyAlignment="1" applyProtection="1">
      <alignment horizontal="left"/>
    </xf>
    <xf numFmtId="0" fontId="5" fillId="0" borderId="4" xfId="1" applyFont="1" applyBorder="1" applyProtection="1"/>
    <xf numFmtId="0" fontId="18" fillId="0" borderId="0" xfId="1" applyFont="1" applyBorder="1" applyAlignment="1" applyProtection="1"/>
    <xf numFmtId="0" fontId="18" fillId="0" borderId="0" xfId="1" applyFont="1" applyBorder="1" applyAlignment="1" applyProtection="1">
      <alignment horizontal="left" vertical="top" wrapText="1"/>
    </xf>
    <xf numFmtId="0" fontId="18" fillId="0" borderId="0" xfId="1" applyFont="1" applyBorder="1" applyAlignment="1" applyProtection="1">
      <alignment wrapText="1"/>
    </xf>
    <xf numFmtId="0" fontId="30" fillId="0" borderId="5" xfId="1" applyFont="1" applyFill="1" applyBorder="1" applyAlignment="1" applyProtection="1">
      <alignment horizontal="center" wrapText="1"/>
    </xf>
    <xf numFmtId="0" fontId="7" fillId="0" borderId="0" xfId="1" applyFont="1" applyBorder="1" applyAlignment="1" applyProtection="1">
      <alignment vertical="top"/>
    </xf>
    <xf numFmtId="0" fontId="5" fillId="0" borderId="4" xfId="1" applyFont="1" applyBorder="1" applyAlignment="1" applyProtection="1">
      <alignment wrapText="1"/>
    </xf>
    <xf numFmtId="0" fontId="21" fillId="0" borderId="0" xfId="1" applyFont="1" applyBorder="1" applyAlignment="1" applyProtection="1">
      <alignment vertical="center" wrapText="1"/>
    </xf>
    <xf numFmtId="0" fontId="18" fillId="0" borderId="0" xfId="1" applyFont="1" applyBorder="1" applyAlignment="1" applyProtection="1">
      <alignment horizontal="justify" vertical="top"/>
    </xf>
    <xf numFmtId="0" fontId="7" fillId="0" borderId="0" xfId="1" applyFont="1" applyBorder="1" applyAlignment="1" applyProtection="1">
      <alignment readingOrder="1"/>
    </xf>
    <xf numFmtId="0" fontId="30" fillId="0" borderId="0" xfId="1" applyFont="1" applyFill="1" applyBorder="1" applyAlignment="1" applyProtection="1">
      <alignment horizontal="left" wrapText="1"/>
    </xf>
    <xf numFmtId="0" fontId="6" fillId="0" borderId="0" xfId="1" applyFont="1" applyBorder="1" applyAlignment="1" applyProtection="1">
      <alignment horizontal="left" vertical="center"/>
    </xf>
    <xf numFmtId="0" fontId="31" fillId="0" borderId="5" xfId="1" applyFont="1" applyBorder="1" applyAlignment="1" applyProtection="1">
      <alignment horizontal="center" vertical="center" wrapText="1"/>
    </xf>
    <xf numFmtId="0" fontId="5" fillId="0" borderId="7" xfId="1" applyFont="1" applyBorder="1" applyAlignment="1" applyProtection="1">
      <alignment wrapText="1"/>
    </xf>
    <xf numFmtId="0" fontId="18" fillId="0" borderId="8" xfId="1" applyFont="1" applyBorder="1" applyAlignment="1" applyProtection="1">
      <alignment vertical="center" wrapText="1"/>
    </xf>
    <xf numFmtId="0" fontId="18" fillId="0" borderId="8" xfId="1" applyFont="1" applyBorder="1" applyAlignment="1" applyProtection="1">
      <alignment horizontal="justify" vertical="top"/>
    </xf>
    <xf numFmtId="0" fontId="32" fillId="0" borderId="8" xfId="1" applyFont="1" applyBorder="1" applyAlignment="1" applyProtection="1">
      <alignment horizontal="left" vertical="center"/>
    </xf>
    <xf numFmtId="0" fontId="18" fillId="0" borderId="8" xfId="1" applyFont="1" applyBorder="1" applyAlignment="1" applyProtection="1">
      <alignment horizontal="left" vertical="center"/>
    </xf>
    <xf numFmtId="0" fontId="6" fillId="0" borderId="9" xfId="1" applyFont="1" applyBorder="1" applyAlignment="1" applyProtection="1">
      <alignment horizontal="left" vertical="center"/>
    </xf>
    <xf numFmtId="0" fontId="6" fillId="0" borderId="9" xfId="1" applyFont="1" applyBorder="1" applyAlignment="1" applyProtection="1">
      <alignment horizontal="center"/>
    </xf>
    <xf numFmtId="0" fontId="7" fillId="0" borderId="0" xfId="1" applyFont="1" applyBorder="1" applyAlignment="1" applyProtection="1"/>
    <xf numFmtId="2" fontId="16" fillId="0" borderId="0" xfId="1" applyNumberFormat="1" applyFont="1" applyBorder="1" applyProtection="1"/>
    <xf numFmtId="2" fontId="7" fillId="0" borderId="0" xfId="1" applyNumberFormat="1" applyFont="1" applyBorder="1" applyAlignment="1" applyProtection="1">
      <alignment horizontal="left" vertical="center"/>
    </xf>
    <xf numFmtId="0" fontId="16" fillId="0" borderId="0" xfId="1" applyFont="1" applyBorder="1" applyAlignment="1" applyProtection="1">
      <alignment horizontal="center"/>
    </xf>
    <xf numFmtId="0" fontId="33" fillId="0" borderId="0" xfId="1" applyFont="1" applyBorder="1" applyProtection="1"/>
    <xf numFmtId="0" fontId="34" fillId="0" borderId="0" xfId="1" applyFont="1" applyBorder="1" applyAlignment="1" applyProtection="1">
      <alignment horizontal="left" vertical="center"/>
    </xf>
    <xf numFmtId="0" fontId="33" fillId="0" borderId="0" xfId="1" applyFont="1" applyBorder="1" applyAlignment="1" applyProtection="1">
      <alignment vertical="center"/>
    </xf>
    <xf numFmtId="0" fontId="16" fillId="0" borderId="0" xfId="1" applyFont="1" applyBorder="1" applyAlignment="1" applyProtection="1">
      <alignment horizontal="left" vertical="center" wrapText="1"/>
    </xf>
    <xf numFmtId="0" fontId="16" fillId="0" borderId="0" xfId="1" applyFont="1" applyBorder="1" applyAlignment="1" applyProtection="1">
      <alignment horizontal="center" wrapText="1"/>
    </xf>
    <xf numFmtId="0" fontId="29" fillId="0" borderId="0" xfId="1" applyFont="1" applyBorder="1" applyAlignment="1" applyProtection="1">
      <alignment horizontal="center"/>
    </xf>
    <xf numFmtId="0" fontId="7" fillId="0" borderId="44" xfId="1" applyFont="1" applyBorder="1" applyProtection="1"/>
    <xf numFmtId="0" fontId="35" fillId="0" borderId="0" xfId="1" applyFont="1" applyBorder="1" applyAlignment="1" applyProtection="1">
      <alignment horizontal="left"/>
    </xf>
    <xf numFmtId="0" fontId="16" fillId="0" borderId="0" xfId="1" applyFont="1" applyBorder="1" applyAlignment="1" applyProtection="1">
      <alignment horizontal="center" vertical="center" wrapText="1"/>
    </xf>
    <xf numFmtId="2" fontId="16" fillId="0" borderId="0" xfId="1" applyNumberFormat="1" applyFont="1" applyFill="1" applyBorder="1" applyAlignment="1" applyProtection="1">
      <alignment horizontal="center" vertical="center"/>
    </xf>
    <xf numFmtId="0" fontId="7" fillId="0" borderId="4" xfId="1" applyFont="1" applyBorder="1" applyProtection="1"/>
    <xf numFmtId="0" fontId="7" fillId="0" borderId="0" xfId="1" applyFont="1" applyBorder="1" applyAlignment="1" applyProtection="1">
      <alignment vertical="center"/>
    </xf>
    <xf numFmtId="0" fontId="7" fillId="0" borderId="0" xfId="1" applyFont="1" applyAlignment="1" applyProtection="1">
      <alignment horizontal="center"/>
    </xf>
    <xf numFmtId="2" fontId="16" fillId="0" borderId="0" xfId="1" applyNumberFormat="1" applyFont="1" applyBorder="1" applyAlignment="1" applyProtection="1">
      <alignment vertical="center" wrapText="1"/>
    </xf>
    <xf numFmtId="0" fontId="16" fillId="0" borderId="0" xfId="1" applyFont="1" applyBorder="1" applyAlignment="1" applyProtection="1">
      <alignment horizontal="center" vertical="top"/>
    </xf>
    <xf numFmtId="0" fontId="29" fillId="0" borderId="0" xfId="1" applyFont="1" applyBorder="1" applyAlignment="1" applyProtection="1">
      <alignment vertical="top" readingOrder="1"/>
    </xf>
    <xf numFmtId="0" fontId="36" fillId="0" borderId="27" xfId="1" applyFont="1" applyBorder="1" applyAlignment="1">
      <alignment horizontal="center" vertical="center"/>
    </xf>
    <xf numFmtId="0" fontId="36" fillId="0" borderId="28" xfId="1" applyFont="1" applyBorder="1" applyAlignment="1">
      <alignment horizontal="center" vertical="center"/>
    </xf>
    <xf numFmtId="2" fontId="18" fillId="0" borderId="28" xfId="1" applyNumberFormat="1" applyFont="1" applyBorder="1" applyProtection="1"/>
    <xf numFmtId="0" fontId="18" fillId="0" borderId="40" xfId="1" applyFont="1" applyBorder="1" applyProtection="1"/>
    <xf numFmtId="9" fontId="16" fillId="0" borderId="0" xfId="3" applyFont="1" applyBorder="1" applyAlignment="1" applyProtection="1">
      <alignment horizontal="justify" vertical="top" wrapText="1"/>
    </xf>
    <xf numFmtId="0" fontId="36" fillId="0" borderId="44" xfId="1" applyFont="1" applyBorder="1" applyAlignment="1">
      <alignment horizontal="center" vertical="center"/>
    </xf>
    <xf numFmtId="0" fontId="36" fillId="0" borderId="0" xfId="1" applyFont="1" applyBorder="1" applyAlignment="1">
      <alignment horizontal="center" vertical="center"/>
    </xf>
    <xf numFmtId="2" fontId="18" fillId="0" borderId="0" xfId="1" applyNumberFormat="1" applyFont="1" applyBorder="1" applyProtection="1"/>
    <xf numFmtId="0" fontId="18" fillId="0" borderId="45" xfId="1" applyFont="1" applyBorder="1" applyProtection="1"/>
    <xf numFmtId="0" fontId="36" fillId="0" borderId="0" xfId="1" applyFont="1" applyBorder="1" applyAlignment="1">
      <alignment horizontal="center" vertical="center" wrapText="1"/>
    </xf>
    <xf numFmtId="0" fontId="37" fillId="0" borderId="23" xfId="1" applyFont="1" applyBorder="1" applyAlignment="1">
      <alignment horizontal="center"/>
    </xf>
    <xf numFmtId="0" fontId="38" fillId="0" borderId="30" xfId="1" applyFont="1" applyBorder="1" applyAlignment="1">
      <alignment horizontal="right"/>
    </xf>
    <xf numFmtId="2" fontId="18" fillId="0" borderId="30" xfId="1" applyNumberFormat="1" applyFont="1" applyBorder="1" applyProtection="1"/>
    <xf numFmtId="2" fontId="18" fillId="0" borderId="31" xfId="1" applyNumberFormat="1" applyFont="1" applyBorder="1" applyAlignment="1" applyProtection="1">
      <alignment horizontal="left"/>
    </xf>
    <xf numFmtId="0" fontId="7" fillId="0" borderId="14" xfId="1" applyFont="1" applyBorder="1" applyAlignment="1" applyProtection="1">
      <alignment horizontal="right" wrapText="1"/>
    </xf>
    <xf numFmtId="2" fontId="7" fillId="0" borderId="14" xfId="1" applyNumberFormat="1" applyFont="1" applyBorder="1" applyAlignment="1" applyProtection="1">
      <alignment horizontal="right" wrapText="1"/>
    </xf>
    <xf numFmtId="2" fontId="7" fillId="0" borderId="14" xfId="1" applyNumberFormat="1" applyFont="1" applyBorder="1" applyAlignment="1" applyProtection="1">
      <alignment horizontal="right"/>
    </xf>
    <xf numFmtId="1" fontId="7" fillId="0" borderId="14" xfId="1" applyNumberFormat="1" applyFont="1" applyBorder="1" applyAlignment="1" applyProtection="1">
      <alignment horizontal="right"/>
    </xf>
    <xf numFmtId="0" fontId="29" fillId="0" borderId="0" xfId="1" applyFont="1" applyBorder="1" applyProtection="1"/>
    <xf numFmtId="0" fontId="29" fillId="0" borderId="0" xfId="1" applyFont="1" applyBorder="1" applyAlignment="1" applyProtection="1">
      <alignment horizontal="left" vertical="center" wrapText="1"/>
    </xf>
    <xf numFmtId="0" fontId="29" fillId="0" borderId="0" xfId="1" applyFont="1" applyBorder="1" applyAlignment="1" applyProtection="1">
      <alignment horizontal="center" vertical="center"/>
    </xf>
    <xf numFmtId="0" fontId="39" fillId="0" borderId="0" xfId="1" applyFont="1" applyBorder="1" applyAlignment="1" applyProtection="1">
      <alignment horizontal="left" vertical="center" wrapText="1"/>
    </xf>
    <xf numFmtId="0" fontId="39" fillId="0" borderId="0" xfId="1" applyFont="1" applyBorder="1" applyAlignment="1" applyProtection="1">
      <alignment horizontal="center" vertical="center" wrapText="1"/>
    </xf>
  </cellXfs>
  <cellStyles count="4">
    <cellStyle name="Hyperlink" xfId="2" builtinId="8"/>
    <cellStyle name="Normal" xfId="0" builtinId="0"/>
    <cellStyle name="Normal 2 2 3" xfId="1" xr:uid="{15CF345F-CDE9-41F2-87F8-5D1EA9A4D1FB}"/>
    <cellStyle name="Percent 2 2" xfId="3" xr:uid="{D4AB45C9-5CAD-4025-B610-57FC67A3858D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2100" baseline="0"/>
            </a:pPr>
            <a:r>
              <a:rPr lang="en-US" sz="2100" baseline="0"/>
              <a:t>Availability &amp; </a:t>
            </a:r>
            <a:r>
              <a:rPr lang="en-US" sz="2100" b="1" i="0" u="none" strike="noStrike" baseline="0"/>
              <a:t>Demand </a:t>
            </a:r>
            <a:endParaRPr lang="en-US" sz="2100" baseline="0"/>
          </a:p>
        </c:rich>
      </c:tx>
      <c:layout>
        <c:manualLayout>
          <c:xMode val="edge"/>
          <c:yMode val="edge"/>
          <c:x val="0.27777305296130173"/>
          <c:y val="6.641891600883552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65677890337167"/>
          <c:y val="0.18275757503703893"/>
          <c:w val="0.59457669145599956"/>
          <c:h val="0.42725359781951538"/>
        </c:manualLayout>
      </c:layout>
      <c:lineChart>
        <c:grouping val="standard"/>
        <c:varyColors val="0"/>
        <c:ser>
          <c:idx val="0"/>
          <c:order val="0"/>
          <c:tx>
            <c:v>Demand</c:v>
          </c:tx>
          <c:spPr>
            <a:ln w="53975">
              <a:solidFill>
                <a:srgbClr val="00B050"/>
              </a:solidFill>
              <a:prstDash val="sysDash"/>
              <a:headEnd type="oval"/>
              <a:tailEnd type="none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[1]Report_Actual_RTD!$E$5:$E$100</c:f>
              <c:numCache>
                <c:formatCode>0</c:formatCode>
                <c:ptCount val="96"/>
                <c:pt idx="0">
                  <c:v>1042</c:v>
                </c:pt>
                <c:pt idx="1">
                  <c:v>1026</c:v>
                </c:pt>
                <c:pt idx="2">
                  <c:v>1046</c:v>
                </c:pt>
                <c:pt idx="3">
                  <c:v>1033</c:v>
                </c:pt>
                <c:pt idx="4">
                  <c:v>1041</c:v>
                </c:pt>
                <c:pt idx="5">
                  <c:v>1042</c:v>
                </c:pt>
                <c:pt idx="6">
                  <c:v>1037</c:v>
                </c:pt>
                <c:pt idx="7">
                  <c:v>1041</c:v>
                </c:pt>
                <c:pt idx="8">
                  <c:v>1030</c:v>
                </c:pt>
                <c:pt idx="9">
                  <c:v>1063</c:v>
                </c:pt>
                <c:pt idx="10">
                  <c:v>1056</c:v>
                </c:pt>
                <c:pt idx="11">
                  <c:v>1055</c:v>
                </c:pt>
                <c:pt idx="12">
                  <c:v>1060</c:v>
                </c:pt>
                <c:pt idx="13">
                  <c:v>1059</c:v>
                </c:pt>
                <c:pt idx="14">
                  <c:v>1052</c:v>
                </c:pt>
                <c:pt idx="15">
                  <c:v>1041</c:v>
                </c:pt>
                <c:pt idx="16">
                  <c:v>1047</c:v>
                </c:pt>
                <c:pt idx="17">
                  <c:v>1067</c:v>
                </c:pt>
                <c:pt idx="18">
                  <c:v>1092</c:v>
                </c:pt>
                <c:pt idx="19">
                  <c:v>1119</c:v>
                </c:pt>
                <c:pt idx="20">
                  <c:v>1162</c:v>
                </c:pt>
                <c:pt idx="21">
                  <c:v>1230</c:v>
                </c:pt>
                <c:pt idx="22">
                  <c:v>1330</c:v>
                </c:pt>
                <c:pt idx="23">
                  <c:v>1412</c:v>
                </c:pt>
                <c:pt idx="24">
                  <c:v>1512</c:v>
                </c:pt>
                <c:pt idx="25">
                  <c:v>1601</c:v>
                </c:pt>
                <c:pt idx="26">
                  <c:v>1659</c:v>
                </c:pt>
                <c:pt idx="27">
                  <c:v>1704</c:v>
                </c:pt>
                <c:pt idx="28">
                  <c:v>1725</c:v>
                </c:pt>
                <c:pt idx="29">
                  <c:v>1727</c:v>
                </c:pt>
                <c:pt idx="30">
                  <c:v>1684</c:v>
                </c:pt>
                <c:pt idx="31">
                  <c:v>1630</c:v>
                </c:pt>
                <c:pt idx="32">
                  <c:v>1598</c:v>
                </c:pt>
                <c:pt idx="33">
                  <c:v>1560</c:v>
                </c:pt>
                <c:pt idx="34">
                  <c:v>1564</c:v>
                </c:pt>
                <c:pt idx="35">
                  <c:v>1555</c:v>
                </c:pt>
                <c:pt idx="36">
                  <c:v>1553</c:v>
                </c:pt>
                <c:pt idx="37">
                  <c:v>1561</c:v>
                </c:pt>
                <c:pt idx="38">
                  <c:v>1567</c:v>
                </c:pt>
                <c:pt idx="39">
                  <c:v>1570</c:v>
                </c:pt>
                <c:pt idx="40">
                  <c:v>1558</c:v>
                </c:pt>
                <c:pt idx="41">
                  <c:v>1547</c:v>
                </c:pt>
                <c:pt idx="42">
                  <c:v>1547</c:v>
                </c:pt>
                <c:pt idx="43">
                  <c:v>1536</c:v>
                </c:pt>
                <c:pt idx="44">
                  <c:v>1494</c:v>
                </c:pt>
                <c:pt idx="45">
                  <c:v>1479</c:v>
                </c:pt>
                <c:pt idx="46">
                  <c:v>1471</c:v>
                </c:pt>
                <c:pt idx="47">
                  <c:v>1469</c:v>
                </c:pt>
                <c:pt idx="48">
                  <c:v>1462</c:v>
                </c:pt>
                <c:pt idx="49">
                  <c:v>1431</c:v>
                </c:pt>
                <c:pt idx="50">
                  <c:v>1432</c:v>
                </c:pt>
                <c:pt idx="51">
                  <c:v>1409</c:v>
                </c:pt>
                <c:pt idx="52">
                  <c:v>1370</c:v>
                </c:pt>
                <c:pt idx="53">
                  <c:v>1352</c:v>
                </c:pt>
                <c:pt idx="54">
                  <c:v>1357</c:v>
                </c:pt>
                <c:pt idx="55">
                  <c:v>1351</c:v>
                </c:pt>
                <c:pt idx="56">
                  <c:v>1353</c:v>
                </c:pt>
                <c:pt idx="57">
                  <c:v>1364</c:v>
                </c:pt>
                <c:pt idx="58">
                  <c:v>1371</c:v>
                </c:pt>
                <c:pt idx="59">
                  <c:v>1411</c:v>
                </c:pt>
                <c:pt idx="60">
                  <c:v>1403</c:v>
                </c:pt>
                <c:pt idx="61">
                  <c:v>1419</c:v>
                </c:pt>
                <c:pt idx="62">
                  <c:v>1430</c:v>
                </c:pt>
                <c:pt idx="63">
                  <c:v>1432</c:v>
                </c:pt>
                <c:pt idx="64">
                  <c:v>1431</c:v>
                </c:pt>
                <c:pt idx="65">
                  <c:v>1418</c:v>
                </c:pt>
                <c:pt idx="66">
                  <c:v>1409</c:v>
                </c:pt>
                <c:pt idx="67">
                  <c:v>1432</c:v>
                </c:pt>
                <c:pt idx="68">
                  <c:v>1423</c:v>
                </c:pt>
                <c:pt idx="69">
                  <c:v>1404</c:v>
                </c:pt>
                <c:pt idx="70">
                  <c:v>1423</c:v>
                </c:pt>
                <c:pt idx="71">
                  <c:v>1397</c:v>
                </c:pt>
                <c:pt idx="72">
                  <c:v>1389</c:v>
                </c:pt>
                <c:pt idx="73">
                  <c:v>1390</c:v>
                </c:pt>
                <c:pt idx="74">
                  <c:v>1374</c:v>
                </c:pt>
                <c:pt idx="75">
                  <c:v>1414</c:v>
                </c:pt>
                <c:pt idx="76">
                  <c:v>1430</c:v>
                </c:pt>
                <c:pt idx="77">
                  <c:v>1467</c:v>
                </c:pt>
                <c:pt idx="78">
                  <c:v>1513</c:v>
                </c:pt>
                <c:pt idx="79">
                  <c:v>1492</c:v>
                </c:pt>
                <c:pt idx="80">
                  <c:v>1459</c:v>
                </c:pt>
                <c:pt idx="81">
                  <c:v>1434</c:v>
                </c:pt>
                <c:pt idx="82">
                  <c:v>1382</c:v>
                </c:pt>
                <c:pt idx="83">
                  <c:v>1370</c:v>
                </c:pt>
                <c:pt idx="84">
                  <c:v>1340</c:v>
                </c:pt>
                <c:pt idx="85">
                  <c:v>1306</c:v>
                </c:pt>
                <c:pt idx="86">
                  <c:v>1305</c:v>
                </c:pt>
                <c:pt idx="87">
                  <c:v>1270</c:v>
                </c:pt>
                <c:pt idx="88">
                  <c:v>1232</c:v>
                </c:pt>
                <c:pt idx="89">
                  <c:v>1193</c:v>
                </c:pt>
                <c:pt idx="90">
                  <c:v>1179</c:v>
                </c:pt>
                <c:pt idx="91">
                  <c:v>1158</c:v>
                </c:pt>
                <c:pt idx="92">
                  <c:v>1157</c:v>
                </c:pt>
                <c:pt idx="93">
                  <c:v>1135</c:v>
                </c:pt>
                <c:pt idx="94">
                  <c:v>1122</c:v>
                </c:pt>
                <c:pt idx="95">
                  <c:v>1091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14-4F0A-AA72-141B50E8EFD9}"/>
            </c:ext>
          </c:extLst>
        </c:ser>
        <c:ser>
          <c:idx val="1"/>
          <c:order val="1"/>
          <c:tx>
            <c:strRef>
              <c:f>[1]Report_Actual_RTD!$T$3</c:f>
              <c:strCache>
                <c:ptCount val="1"/>
                <c:pt idx="0">
                  <c:v>Availability</c:v>
                </c:pt>
              </c:strCache>
            </c:strRef>
          </c:tx>
          <c:spPr>
            <a:ln w="15875">
              <a:prstDash val="sysDash"/>
              <a:headEnd type="oval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[1]Report_Actual_RTD!$T$5:$T$100</c:f>
              <c:numCache>
                <c:formatCode>0</c:formatCode>
                <c:ptCount val="96"/>
                <c:pt idx="0">
                  <c:v>1091</c:v>
                </c:pt>
                <c:pt idx="1">
                  <c:v>1045</c:v>
                </c:pt>
                <c:pt idx="2">
                  <c:v>1068</c:v>
                </c:pt>
                <c:pt idx="3">
                  <c:v>1076</c:v>
                </c:pt>
                <c:pt idx="4">
                  <c:v>1029</c:v>
                </c:pt>
                <c:pt idx="5">
                  <c:v>1044</c:v>
                </c:pt>
                <c:pt idx="6">
                  <c:v>979</c:v>
                </c:pt>
                <c:pt idx="7">
                  <c:v>972</c:v>
                </c:pt>
                <c:pt idx="8">
                  <c:v>1012</c:v>
                </c:pt>
                <c:pt idx="9">
                  <c:v>1015</c:v>
                </c:pt>
                <c:pt idx="10">
                  <c:v>996</c:v>
                </c:pt>
                <c:pt idx="11">
                  <c:v>982</c:v>
                </c:pt>
                <c:pt idx="12">
                  <c:v>1004</c:v>
                </c:pt>
                <c:pt idx="13">
                  <c:v>991</c:v>
                </c:pt>
                <c:pt idx="14">
                  <c:v>1033</c:v>
                </c:pt>
                <c:pt idx="15">
                  <c:v>1042</c:v>
                </c:pt>
                <c:pt idx="16">
                  <c:v>1069</c:v>
                </c:pt>
                <c:pt idx="17">
                  <c:v>1059</c:v>
                </c:pt>
                <c:pt idx="18">
                  <c:v>1083</c:v>
                </c:pt>
                <c:pt idx="19">
                  <c:v>1118</c:v>
                </c:pt>
                <c:pt idx="20">
                  <c:v>1155</c:v>
                </c:pt>
                <c:pt idx="21">
                  <c:v>1243</c:v>
                </c:pt>
                <c:pt idx="22">
                  <c:v>1309</c:v>
                </c:pt>
                <c:pt idx="23">
                  <c:v>1426</c:v>
                </c:pt>
                <c:pt idx="24">
                  <c:v>1153</c:v>
                </c:pt>
                <c:pt idx="25">
                  <c:v>1357</c:v>
                </c:pt>
                <c:pt idx="26">
                  <c:v>1636</c:v>
                </c:pt>
                <c:pt idx="27">
                  <c:v>1677</c:v>
                </c:pt>
                <c:pt idx="28">
                  <c:v>1680.4220150000001</c:v>
                </c:pt>
                <c:pt idx="29">
                  <c:v>1688.1981390000001</c:v>
                </c:pt>
                <c:pt idx="30">
                  <c:v>1671.371191</c:v>
                </c:pt>
                <c:pt idx="31">
                  <c:v>1603.0814620000001</c:v>
                </c:pt>
                <c:pt idx="32">
                  <c:v>1618.0931029999999</c:v>
                </c:pt>
                <c:pt idx="33">
                  <c:v>1540.5391610000001</c:v>
                </c:pt>
                <c:pt idx="34">
                  <c:v>1550.9997599999999</c:v>
                </c:pt>
                <c:pt idx="35">
                  <c:v>1548.159298</c:v>
                </c:pt>
                <c:pt idx="36">
                  <c:v>1519.654164</c:v>
                </c:pt>
                <c:pt idx="37">
                  <c:v>1567.6401799999999</c:v>
                </c:pt>
                <c:pt idx="38">
                  <c:v>1566.8238609999999</c:v>
                </c:pt>
                <c:pt idx="39">
                  <c:v>1548.363861</c:v>
                </c:pt>
                <c:pt idx="40">
                  <c:v>1509.4113710000001</c:v>
                </c:pt>
                <c:pt idx="41">
                  <c:v>1511.9892559999998</c:v>
                </c:pt>
                <c:pt idx="42">
                  <c:v>1553.19802</c:v>
                </c:pt>
                <c:pt idx="43">
                  <c:v>1538.1780199999998</c:v>
                </c:pt>
                <c:pt idx="44">
                  <c:v>1396.8068229999999</c:v>
                </c:pt>
                <c:pt idx="45">
                  <c:v>1457.8611230000001</c:v>
                </c:pt>
                <c:pt idx="46">
                  <c:v>1478.2743639999999</c:v>
                </c:pt>
                <c:pt idx="47">
                  <c:v>1467.4866040000002</c:v>
                </c:pt>
                <c:pt idx="48">
                  <c:v>1448.8466039999998</c:v>
                </c:pt>
                <c:pt idx="49">
                  <c:v>1437.1124850000001</c:v>
                </c:pt>
                <c:pt idx="50">
                  <c:v>1372.1659070000001</c:v>
                </c:pt>
                <c:pt idx="51">
                  <c:v>1357.862922</c:v>
                </c:pt>
                <c:pt idx="52">
                  <c:v>1316</c:v>
                </c:pt>
                <c:pt idx="53">
                  <c:v>1282</c:v>
                </c:pt>
                <c:pt idx="54">
                  <c:v>1342</c:v>
                </c:pt>
                <c:pt idx="55">
                  <c:v>1321</c:v>
                </c:pt>
                <c:pt idx="56">
                  <c:v>1346</c:v>
                </c:pt>
                <c:pt idx="57">
                  <c:v>1343</c:v>
                </c:pt>
                <c:pt idx="58">
                  <c:v>1360</c:v>
                </c:pt>
                <c:pt idx="59">
                  <c:v>1365</c:v>
                </c:pt>
                <c:pt idx="60">
                  <c:v>1354</c:v>
                </c:pt>
                <c:pt idx="61">
                  <c:v>1395</c:v>
                </c:pt>
                <c:pt idx="62">
                  <c:v>1446</c:v>
                </c:pt>
                <c:pt idx="63">
                  <c:v>1414</c:v>
                </c:pt>
                <c:pt idx="64">
                  <c:v>1367</c:v>
                </c:pt>
                <c:pt idx="65">
                  <c:v>1378</c:v>
                </c:pt>
                <c:pt idx="66">
                  <c:v>1391</c:v>
                </c:pt>
                <c:pt idx="67">
                  <c:v>1392</c:v>
                </c:pt>
                <c:pt idx="68">
                  <c:v>1380</c:v>
                </c:pt>
                <c:pt idx="69">
                  <c:v>1334</c:v>
                </c:pt>
                <c:pt idx="70">
                  <c:v>1354</c:v>
                </c:pt>
                <c:pt idx="71">
                  <c:v>1389</c:v>
                </c:pt>
                <c:pt idx="72">
                  <c:v>1336</c:v>
                </c:pt>
                <c:pt idx="73">
                  <c:v>1351</c:v>
                </c:pt>
                <c:pt idx="74">
                  <c:v>1326</c:v>
                </c:pt>
                <c:pt idx="75">
                  <c:v>1343</c:v>
                </c:pt>
                <c:pt idx="76">
                  <c:v>1327</c:v>
                </c:pt>
                <c:pt idx="77">
                  <c:v>1361</c:v>
                </c:pt>
                <c:pt idx="78">
                  <c:v>1520</c:v>
                </c:pt>
                <c:pt idx="79">
                  <c:v>1461</c:v>
                </c:pt>
                <c:pt idx="80">
                  <c:v>1454</c:v>
                </c:pt>
                <c:pt idx="81">
                  <c:v>1457</c:v>
                </c:pt>
                <c:pt idx="82">
                  <c:v>1407</c:v>
                </c:pt>
                <c:pt idx="83">
                  <c:v>1357</c:v>
                </c:pt>
                <c:pt idx="84">
                  <c:v>1414</c:v>
                </c:pt>
                <c:pt idx="85">
                  <c:v>1368</c:v>
                </c:pt>
                <c:pt idx="86">
                  <c:v>1310</c:v>
                </c:pt>
                <c:pt idx="87">
                  <c:v>1279</c:v>
                </c:pt>
                <c:pt idx="88">
                  <c:v>1244</c:v>
                </c:pt>
                <c:pt idx="89">
                  <c:v>1222</c:v>
                </c:pt>
                <c:pt idx="90">
                  <c:v>1233</c:v>
                </c:pt>
                <c:pt idx="91">
                  <c:v>1215</c:v>
                </c:pt>
                <c:pt idx="92">
                  <c:v>1144</c:v>
                </c:pt>
                <c:pt idx="93">
                  <c:v>1122</c:v>
                </c:pt>
                <c:pt idx="94">
                  <c:v>1086</c:v>
                </c:pt>
                <c:pt idx="95">
                  <c:v>1018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14-4F0A-AA72-141B50E8EF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3268352"/>
        <c:axId val="343274240"/>
      </c:lineChart>
      <c:lineChart>
        <c:grouping val="standard"/>
        <c:varyColors val="0"/>
        <c:ser>
          <c:idx val="2"/>
          <c:order val="2"/>
          <c:tx>
            <c:v>Freq.</c:v>
          </c:tx>
          <c:spPr>
            <a:ln w="53975">
              <a:solidFill>
                <a:srgbClr val="002060"/>
              </a:solidFill>
            </a:ln>
          </c:spPr>
          <c:marker>
            <c:symbol val="none"/>
          </c:marker>
          <c:dPt>
            <c:idx val="49"/>
            <c:bubble3D val="0"/>
            <c:spPr>
              <a:ln w="53975">
                <a:solidFill>
                  <a:srgbClr val="002060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3-6114-4F0A-AA72-141B50E8EFD9}"/>
              </c:ext>
            </c:extLst>
          </c:dPt>
          <c:dPt>
            <c:idx val="51"/>
            <c:bubble3D val="0"/>
            <c:spPr>
              <a:ln w="53975">
                <a:solidFill>
                  <a:srgbClr val="002060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5-6114-4F0A-AA72-141B50E8EFD9}"/>
              </c:ext>
            </c:extLst>
          </c:dPt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[1]Report_Actual_RTD!$C$5:$C$100</c:f>
              <c:numCache>
                <c:formatCode>0.00</c:formatCode>
                <c:ptCount val="96"/>
                <c:pt idx="0">
                  <c:v>49.97</c:v>
                </c:pt>
                <c:pt idx="1">
                  <c:v>49.95</c:v>
                </c:pt>
                <c:pt idx="2">
                  <c:v>49.96</c:v>
                </c:pt>
                <c:pt idx="3">
                  <c:v>50</c:v>
                </c:pt>
                <c:pt idx="4">
                  <c:v>49.98</c:v>
                </c:pt>
                <c:pt idx="5">
                  <c:v>49.99</c:v>
                </c:pt>
                <c:pt idx="6">
                  <c:v>50</c:v>
                </c:pt>
                <c:pt idx="7">
                  <c:v>50.01</c:v>
                </c:pt>
                <c:pt idx="8">
                  <c:v>50</c:v>
                </c:pt>
                <c:pt idx="9">
                  <c:v>50</c:v>
                </c:pt>
                <c:pt idx="10">
                  <c:v>49.98</c:v>
                </c:pt>
                <c:pt idx="11">
                  <c:v>50</c:v>
                </c:pt>
                <c:pt idx="12">
                  <c:v>50.01</c:v>
                </c:pt>
                <c:pt idx="13">
                  <c:v>49.99</c:v>
                </c:pt>
                <c:pt idx="14">
                  <c:v>49.99</c:v>
                </c:pt>
                <c:pt idx="15">
                  <c:v>50.01</c:v>
                </c:pt>
                <c:pt idx="16">
                  <c:v>50</c:v>
                </c:pt>
                <c:pt idx="17">
                  <c:v>50</c:v>
                </c:pt>
                <c:pt idx="18">
                  <c:v>49.95</c:v>
                </c:pt>
                <c:pt idx="19">
                  <c:v>50</c:v>
                </c:pt>
                <c:pt idx="20">
                  <c:v>50.01</c:v>
                </c:pt>
                <c:pt idx="21">
                  <c:v>49.97</c:v>
                </c:pt>
                <c:pt idx="22">
                  <c:v>50</c:v>
                </c:pt>
                <c:pt idx="23">
                  <c:v>50.01</c:v>
                </c:pt>
                <c:pt idx="24">
                  <c:v>50</c:v>
                </c:pt>
                <c:pt idx="25">
                  <c:v>50.03</c:v>
                </c:pt>
                <c:pt idx="26">
                  <c:v>50.05</c:v>
                </c:pt>
                <c:pt idx="27">
                  <c:v>50.03</c:v>
                </c:pt>
                <c:pt idx="28">
                  <c:v>50.02</c:v>
                </c:pt>
                <c:pt idx="29">
                  <c:v>50.03</c:v>
                </c:pt>
                <c:pt idx="30">
                  <c:v>50.02</c:v>
                </c:pt>
                <c:pt idx="31">
                  <c:v>50.16</c:v>
                </c:pt>
                <c:pt idx="32">
                  <c:v>50.1</c:v>
                </c:pt>
                <c:pt idx="33">
                  <c:v>49.97</c:v>
                </c:pt>
                <c:pt idx="34">
                  <c:v>49.94</c:v>
                </c:pt>
                <c:pt idx="35">
                  <c:v>49.97</c:v>
                </c:pt>
                <c:pt idx="36">
                  <c:v>49.91</c:v>
                </c:pt>
                <c:pt idx="37">
                  <c:v>49.89</c:v>
                </c:pt>
                <c:pt idx="38">
                  <c:v>49.92</c:v>
                </c:pt>
                <c:pt idx="39">
                  <c:v>49.93</c:v>
                </c:pt>
                <c:pt idx="40">
                  <c:v>49.95</c:v>
                </c:pt>
                <c:pt idx="41">
                  <c:v>49.99</c:v>
                </c:pt>
                <c:pt idx="42">
                  <c:v>49.99</c:v>
                </c:pt>
                <c:pt idx="43">
                  <c:v>50.01</c:v>
                </c:pt>
                <c:pt idx="44">
                  <c:v>50.02</c:v>
                </c:pt>
                <c:pt idx="45">
                  <c:v>50.01</c:v>
                </c:pt>
                <c:pt idx="46">
                  <c:v>50.04</c:v>
                </c:pt>
                <c:pt idx="47">
                  <c:v>50.02</c:v>
                </c:pt>
                <c:pt idx="48">
                  <c:v>50.02</c:v>
                </c:pt>
                <c:pt idx="49">
                  <c:v>50</c:v>
                </c:pt>
                <c:pt idx="50">
                  <c:v>49.97</c:v>
                </c:pt>
                <c:pt idx="51">
                  <c:v>49.98</c:v>
                </c:pt>
                <c:pt idx="52">
                  <c:v>49.98</c:v>
                </c:pt>
                <c:pt idx="53">
                  <c:v>49.96</c:v>
                </c:pt>
                <c:pt idx="54">
                  <c:v>49.95</c:v>
                </c:pt>
                <c:pt idx="55">
                  <c:v>49.97</c:v>
                </c:pt>
                <c:pt idx="56">
                  <c:v>49.97</c:v>
                </c:pt>
                <c:pt idx="57">
                  <c:v>49.97</c:v>
                </c:pt>
                <c:pt idx="58">
                  <c:v>49.96</c:v>
                </c:pt>
                <c:pt idx="59">
                  <c:v>49.91</c:v>
                </c:pt>
                <c:pt idx="60">
                  <c:v>49.89</c:v>
                </c:pt>
                <c:pt idx="61">
                  <c:v>49.95</c:v>
                </c:pt>
                <c:pt idx="62">
                  <c:v>49.97</c:v>
                </c:pt>
                <c:pt idx="63">
                  <c:v>49.98</c:v>
                </c:pt>
                <c:pt idx="64">
                  <c:v>50.01</c:v>
                </c:pt>
                <c:pt idx="65">
                  <c:v>49.95</c:v>
                </c:pt>
                <c:pt idx="66">
                  <c:v>49.89</c:v>
                </c:pt>
                <c:pt idx="67">
                  <c:v>49.95</c:v>
                </c:pt>
                <c:pt idx="68">
                  <c:v>50.02</c:v>
                </c:pt>
                <c:pt idx="69">
                  <c:v>49.97</c:v>
                </c:pt>
                <c:pt idx="70">
                  <c:v>50.01</c:v>
                </c:pt>
                <c:pt idx="71">
                  <c:v>50</c:v>
                </c:pt>
                <c:pt idx="72">
                  <c:v>50.05</c:v>
                </c:pt>
                <c:pt idx="73">
                  <c:v>50.02</c:v>
                </c:pt>
                <c:pt idx="74">
                  <c:v>50.04</c:v>
                </c:pt>
                <c:pt idx="75">
                  <c:v>50.01</c:v>
                </c:pt>
                <c:pt idx="76">
                  <c:v>50.03</c:v>
                </c:pt>
                <c:pt idx="77">
                  <c:v>50</c:v>
                </c:pt>
                <c:pt idx="78">
                  <c:v>50.02</c:v>
                </c:pt>
                <c:pt idx="79">
                  <c:v>49.99</c:v>
                </c:pt>
                <c:pt idx="80">
                  <c:v>50.03</c:v>
                </c:pt>
                <c:pt idx="81">
                  <c:v>50.05</c:v>
                </c:pt>
                <c:pt idx="82">
                  <c:v>50.03</c:v>
                </c:pt>
                <c:pt idx="83">
                  <c:v>50.05</c:v>
                </c:pt>
                <c:pt idx="84">
                  <c:v>50.01</c:v>
                </c:pt>
                <c:pt idx="85">
                  <c:v>50.03</c:v>
                </c:pt>
                <c:pt idx="86">
                  <c:v>50.04</c:v>
                </c:pt>
                <c:pt idx="87">
                  <c:v>50.06</c:v>
                </c:pt>
                <c:pt idx="88">
                  <c:v>50.03</c:v>
                </c:pt>
                <c:pt idx="89">
                  <c:v>50.02</c:v>
                </c:pt>
                <c:pt idx="90">
                  <c:v>50.03</c:v>
                </c:pt>
                <c:pt idx="91">
                  <c:v>50.02</c:v>
                </c:pt>
                <c:pt idx="92">
                  <c:v>50</c:v>
                </c:pt>
                <c:pt idx="93">
                  <c:v>50.01</c:v>
                </c:pt>
                <c:pt idx="94">
                  <c:v>50.02</c:v>
                </c:pt>
                <c:pt idx="95">
                  <c:v>50.02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114-4F0A-AA72-141B50E8EF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4662400"/>
        <c:axId val="343276160"/>
      </c:lineChart>
      <c:catAx>
        <c:axId val="3432683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en-US" sz="1300" baseline="0"/>
            </a:pPr>
            <a:endParaRPr lang="en-US"/>
          </a:p>
        </c:txPr>
        <c:crossAx val="343274240"/>
        <c:crosses val="autoZero"/>
        <c:auto val="1"/>
        <c:lblAlgn val="ctr"/>
        <c:lblOffset val="100"/>
        <c:noMultiLvlLbl val="0"/>
      </c:catAx>
      <c:valAx>
        <c:axId val="343274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lang="en-US" sz="1500" baseline="0"/>
                </a:pPr>
                <a:r>
                  <a:rPr lang="en-US" sz="1500" baseline="0"/>
                  <a:t>MW</a:t>
                </a:r>
              </a:p>
            </c:rich>
          </c:tx>
          <c:overlay val="0"/>
        </c:title>
        <c:numFmt formatCode="0" sourceLinked="1"/>
        <c:majorTickMark val="none"/>
        <c:minorTickMark val="none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343268352"/>
        <c:crosses val="autoZero"/>
        <c:crossBetween val="between"/>
      </c:valAx>
      <c:valAx>
        <c:axId val="343276160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344662400"/>
        <c:crosses val="max"/>
        <c:crossBetween val="between"/>
      </c:valAx>
      <c:catAx>
        <c:axId val="344662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43276160"/>
        <c:crosses val="autoZero"/>
        <c:auto val="1"/>
        <c:lblAlgn val="ctr"/>
        <c:lblOffset val="100"/>
        <c:noMultiLvlLbl val="0"/>
      </c:catAx>
    </c:plotArea>
    <c:legend>
      <c:legendPos val="r"/>
      <c:overlay val="0"/>
      <c:txPr>
        <a:bodyPr/>
        <a:lstStyle/>
        <a:p>
          <a:pPr>
            <a:defRPr lang="en-US" sz="1500" baseline="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185057</xdr:colOff>
      <xdr:row>116</xdr:row>
      <xdr:rowOff>154780</xdr:rowOff>
    </xdr:from>
    <xdr:to>
      <xdr:col>10</xdr:col>
      <xdr:colOff>608436</xdr:colOff>
      <xdr:row>129</xdr:row>
      <xdr:rowOff>48987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602DA23-DECD-4BFA-9223-49002FF845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571500</xdr:colOff>
      <xdr:row>1</xdr:row>
      <xdr:rowOff>25400</xdr:rowOff>
    </xdr:from>
    <xdr:to>
      <xdr:col>3</xdr:col>
      <xdr:colOff>226568</xdr:colOff>
      <xdr:row>1</xdr:row>
      <xdr:rowOff>49458</xdr:rowOff>
    </xdr:to>
    <xdr:pic>
      <xdr:nvPicPr>
        <xdr:cNvPr id="3" name="Picture 2" descr="Letter Head SLDC.jpg">
          <a:extLst>
            <a:ext uri="{FF2B5EF4-FFF2-40B4-BE49-F238E27FC236}">
              <a16:creationId xmlns:a16="http://schemas.microsoft.com/office/drawing/2014/main" id="{4D52C99E-0EB7-49ED-9ECC-AADF4703C2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076700" y="444500"/>
          <a:ext cx="845693" cy="24058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0.80816</cdr:x>
      <cdr:y>0.30246</cdr:y>
    </cdr:from>
    <cdr:to>
      <cdr:x>0.84669</cdr:x>
      <cdr:y>0.42982</cdr:y>
    </cdr:to>
    <cdr:sp macro="" textlink="">
      <cdr:nvSpPr>
        <cdr:cNvPr id="2" name="TextBox 1"/>
        <cdr:cNvSpPr txBox="1"/>
      </cdr:nvSpPr>
      <cdr:spPr>
        <a:xfrm xmlns:a="http://schemas.openxmlformats.org/drawingml/2006/main" rot="16200000">
          <a:off x="5699910" y="933544"/>
          <a:ext cx="372402" cy="2740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Hz</a:t>
          </a:r>
        </a:p>
      </cdr:txBody>
    </cdr:sp>
  </cdr:relSizeAnchor>
  <cdr:relSizeAnchor xmlns:cdr="http://schemas.openxmlformats.org/drawingml/2006/chartDrawing">
    <cdr:from>
      <cdr:x>0.39106</cdr:x>
      <cdr:y>0.85539</cdr:y>
    </cdr:from>
    <cdr:to>
      <cdr:x>0.50299</cdr:x>
      <cdr:y>0.93302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781888" y="2780523"/>
          <a:ext cx="796241" cy="2523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Time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-2404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PORTS-%202021\DEC%202021\23122021\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RPC Daily Report"/>
      <sheetName val="Report_DPS (HPSLDC)"/>
      <sheetName val="PrSec_Report (hpsldc) (FInal)"/>
      <sheetName val="Daily report for CEA (SLDC-F)"/>
      <sheetName val="Report_PSPR NRLDC  SLDC "/>
      <sheetName val="Report_PSPR NRPC  (SLDC)"/>
      <sheetName val="Report_Actual_RTD"/>
      <sheetName val="Report_GoHP"/>
      <sheetName val="Report_DPS"/>
      <sheetName val="Report_PSPR NRPC "/>
      <sheetName val="Report_Daily Hrly Load Sheet "/>
      <sheetName val="Report-LoadShedding"/>
      <sheetName val="Report_DHIL"/>
      <sheetName val="MeritOrderProforma Daily-A"/>
      <sheetName val="Central Sector Final Rev"/>
      <sheetName val="SurrenderedAmount"/>
      <sheetName val="Surrendered Energy"/>
      <sheetName val="IntraState_Generator"/>
      <sheetName val="GEN SHEET"/>
      <sheetName val="Form_0_Rev.By Surrender_OR_Gen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DAILY"/>
      <sheetName val="Form-8_DA-Report to NRLDC"/>
      <sheetName val="DHIL GS"/>
      <sheetName val="Form-7_Daily Hrly Load Sheet"/>
      <sheetName val="Form-9_GoHP POWER"/>
      <sheetName val="RTM RATE SHEET"/>
      <sheetName val="Form-10_Actual_RTD"/>
      <sheetName val="ACTUAL GENERATION"/>
      <sheetName val="DHIL"/>
      <sheetName val="Frm-16 LEVEL &amp; DISCHARGE"/>
      <sheetName val="Form-13-LoadShedding "/>
      <sheetName val="Sheet2"/>
      <sheetName val="DR-DAD-7 ANT V ACT"/>
      <sheetName val="DR-DAD-4 HP GEN"/>
      <sheetName val="ANT 1"/>
      <sheetName val="ANT 2 "/>
      <sheetName val="Hours"/>
      <sheetName val="Minutes"/>
      <sheetName val="LoadSheddinInLus"/>
      <sheetName val="ConsolidatedLoadShedding"/>
      <sheetName val="CircleIC"/>
      <sheetName val="MD DATA"/>
      <sheetName val="MD"/>
      <sheetName val="ALL IC"/>
      <sheetName val="P&amp;T"/>
      <sheetName val="IC"/>
      <sheetName val="DHIL (2)"/>
      <sheetName val="INDUSTRIES"/>
      <sheetName val="D GRAPH"/>
      <sheetName val="GOHP POWER"/>
      <sheetName val="URSHPSEBL"/>
      <sheetName val="Frequency"/>
      <sheetName val="password"/>
      <sheetName val="anticipated hpsldc "/>
      <sheetName val="NRLDC ANTI. VS ACTUAL"/>
      <sheetName val="HP(NR)_Hydro"/>
      <sheetName val="NRLDC GEN DATA"/>
      <sheetName val="GEN"/>
      <sheetName val="Sheet1"/>
      <sheetName val="HP(NR)_Hydro)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T3" t="str">
            <v>Availability</v>
          </cell>
        </row>
        <row r="5">
          <cell r="B5" t="str">
            <v>00:00-00.15</v>
          </cell>
          <cell r="C5">
            <v>49.97</v>
          </cell>
          <cell r="E5">
            <v>1042</v>
          </cell>
          <cell r="T5">
            <v>1091</v>
          </cell>
        </row>
        <row r="6">
          <cell r="B6" t="str">
            <v>00.15-00.30</v>
          </cell>
          <cell r="C6">
            <v>49.95</v>
          </cell>
          <cell r="E6">
            <v>1026</v>
          </cell>
          <cell r="T6">
            <v>1045</v>
          </cell>
        </row>
        <row r="7">
          <cell r="B7" t="str">
            <v>00.30-00.45</v>
          </cell>
          <cell r="C7">
            <v>49.96</v>
          </cell>
          <cell r="E7">
            <v>1046</v>
          </cell>
          <cell r="T7">
            <v>1068</v>
          </cell>
        </row>
        <row r="8">
          <cell r="B8" t="str">
            <v>00.45-01.00</v>
          </cell>
          <cell r="C8">
            <v>50</v>
          </cell>
          <cell r="E8">
            <v>1033</v>
          </cell>
          <cell r="T8">
            <v>1076</v>
          </cell>
        </row>
        <row r="9">
          <cell r="B9" t="str">
            <v>01.00-01.15</v>
          </cell>
          <cell r="C9">
            <v>49.98</v>
          </cell>
          <cell r="E9">
            <v>1041</v>
          </cell>
          <cell r="T9">
            <v>1029</v>
          </cell>
        </row>
        <row r="10">
          <cell r="B10" t="str">
            <v>01.15-01.30</v>
          </cell>
          <cell r="C10">
            <v>49.99</v>
          </cell>
          <cell r="E10">
            <v>1042</v>
          </cell>
          <cell r="T10">
            <v>1044</v>
          </cell>
        </row>
        <row r="11">
          <cell r="B11" t="str">
            <v>01.30-01.45</v>
          </cell>
          <cell r="C11">
            <v>50</v>
          </cell>
          <cell r="E11">
            <v>1037</v>
          </cell>
          <cell r="T11">
            <v>979</v>
          </cell>
        </row>
        <row r="12">
          <cell r="B12" t="str">
            <v>01.45-02.00</v>
          </cell>
          <cell r="C12">
            <v>50.01</v>
          </cell>
          <cell r="E12">
            <v>1041</v>
          </cell>
          <cell r="T12">
            <v>972</v>
          </cell>
        </row>
        <row r="13">
          <cell r="B13" t="str">
            <v>02.00-02.15</v>
          </cell>
          <cell r="C13">
            <v>50</v>
          </cell>
          <cell r="E13">
            <v>1030</v>
          </cell>
          <cell r="T13">
            <v>1012</v>
          </cell>
        </row>
        <row r="14">
          <cell r="B14" t="str">
            <v>02.15-02.30</v>
          </cell>
          <cell r="C14">
            <v>50</v>
          </cell>
          <cell r="E14">
            <v>1063</v>
          </cell>
          <cell r="T14">
            <v>1015</v>
          </cell>
        </row>
        <row r="15">
          <cell r="B15" t="str">
            <v>02.30-02.45</v>
          </cell>
          <cell r="C15">
            <v>49.98</v>
          </cell>
          <cell r="E15">
            <v>1056</v>
          </cell>
          <cell r="T15">
            <v>996</v>
          </cell>
        </row>
        <row r="16">
          <cell r="B16" t="str">
            <v>02.45-03:00</v>
          </cell>
          <cell r="C16">
            <v>50</v>
          </cell>
          <cell r="E16">
            <v>1055</v>
          </cell>
          <cell r="T16">
            <v>982</v>
          </cell>
        </row>
        <row r="17">
          <cell r="B17" t="str">
            <v>03.00-03.15</v>
          </cell>
          <cell r="C17">
            <v>50.01</v>
          </cell>
          <cell r="E17">
            <v>1060</v>
          </cell>
          <cell r="T17">
            <v>1004</v>
          </cell>
        </row>
        <row r="18">
          <cell r="B18" t="str">
            <v>03.15-03.30</v>
          </cell>
          <cell r="C18">
            <v>49.99</v>
          </cell>
          <cell r="E18">
            <v>1059</v>
          </cell>
          <cell r="T18">
            <v>991</v>
          </cell>
        </row>
        <row r="19">
          <cell r="B19" t="str">
            <v>03.30-03.45</v>
          </cell>
          <cell r="C19">
            <v>49.99</v>
          </cell>
          <cell r="E19">
            <v>1052</v>
          </cell>
          <cell r="T19">
            <v>1033</v>
          </cell>
        </row>
        <row r="20">
          <cell r="B20" t="str">
            <v>03.45-04.00</v>
          </cell>
          <cell r="C20">
            <v>50.01</v>
          </cell>
          <cell r="E20">
            <v>1041</v>
          </cell>
          <cell r="T20">
            <v>1042</v>
          </cell>
        </row>
        <row r="21">
          <cell r="B21" t="str">
            <v>04.00-04.15</v>
          </cell>
          <cell r="C21">
            <v>50</v>
          </cell>
          <cell r="E21">
            <v>1047</v>
          </cell>
          <cell r="T21">
            <v>1069</v>
          </cell>
        </row>
        <row r="22">
          <cell r="B22" t="str">
            <v>04.15-04.30</v>
          </cell>
          <cell r="C22">
            <v>50</v>
          </cell>
          <cell r="E22">
            <v>1067</v>
          </cell>
          <cell r="T22">
            <v>1059</v>
          </cell>
        </row>
        <row r="23">
          <cell r="B23" t="str">
            <v>04.30-04.45</v>
          </cell>
          <cell r="C23">
            <v>49.95</v>
          </cell>
          <cell r="E23">
            <v>1092</v>
          </cell>
          <cell r="T23">
            <v>1083</v>
          </cell>
        </row>
        <row r="24">
          <cell r="B24" t="str">
            <v>04.45-05.00</v>
          </cell>
          <cell r="C24">
            <v>50</v>
          </cell>
          <cell r="E24">
            <v>1119</v>
          </cell>
          <cell r="T24">
            <v>1118</v>
          </cell>
        </row>
        <row r="25">
          <cell r="B25" t="str">
            <v>05.00-05.15</v>
          </cell>
          <cell r="C25">
            <v>50.01</v>
          </cell>
          <cell r="E25">
            <v>1162</v>
          </cell>
          <cell r="T25">
            <v>1155</v>
          </cell>
        </row>
        <row r="26">
          <cell r="B26" t="str">
            <v>05.15-05.30</v>
          </cell>
          <cell r="C26">
            <v>49.97</v>
          </cell>
          <cell r="E26">
            <v>1230</v>
          </cell>
          <cell r="T26">
            <v>1243</v>
          </cell>
        </row>
        <row r="27">
          <cell r="B27" t="str">
            <v>05.30-05.45</v>
          </cell>
          <cell r="C27">
            <v>50</v>
          </cell>
          <cell r="E27">
            <v>1330</v>
          </cell>
          <cell r="T27">
            <v>1309</v>
          </cell>
        </row>
        <row r="28">
          <cell r="B28" t="str">
            <v>05.45-06.00</v>
          </cell>
          <cell r="C28">
            <v>50.01</v>
          </cell>
          <cell r="E28">
            <v>1412</v>
          </cell>
          <cell r="T28">
            <v>1426</v>
          </cell>
        </row>
        <row r="29">
          <cell r="B29" t="str">
            <v>06.00-06.15</v>
          </cell>
          <cell r="C29">
            <v>50</v>
          </cell>
          <cell r="E29">
            <v>1512</v>
          </cell>
          <cell r="T29">
            <v>1153</v>
          </cell>
        </row>
        <row r="30">
          <cell r="B30" t="str">
            <v>06.15-06.30</v>
          </cell>
          <cell r="C30">
            <v>50.03</v>
          </cell>
          <cell r="E30">
            <v>1601</v>
          </cell>
          <cell r="T30">
            <v>1357</v>
          </cell>
        </row>
        <row r="31">
          <cell r="B31" t="str">
            <v>06.30-06.45</v>
          </cell>
          <cell r="C31">
            <v>50.05</v>
          </cell>
          <cell r="E31">
            <v>1659</v>
          </cell>
          <cell r="T31">
            <v>1636</v>
          </cell>
        </row>
        <row r="32">
          <cell r="B32" t="str">
            <v>06.45-07.00</v>
          </cell>
          <cell r="C32">
            <v>50.03</v>
          </cell>
          <cell r="E32">
            <v>1704</v>
          </cell>
          <cell r="T32">
            <v>1677</v>
          </cell>
        </row>
        <row r="33">
          <cell r="B33" t="str">
            <v>07.00-07.15</v>
          </cell>
          <cell r="C33">
            <v>50.02</v>
          </cell>
          <cell r="E33">
            <v>1725</v>
          </cell>
          <cell r="T33">
            <v>1680.4220150000001</v>
          </cell>
        </row>
        <row r="34">
          <cell r="B34" t="str">
            <v>07.15-07.30</v>
          </cell>
          <cell r="C34">
            <v>50.03</v>
          </cell>
          <cell r="E34">
            <v>1727</v>
          </cell>
          <cell r="T34">
            <v>1688.1981390000001</v>
          </cell>
        </row>
        <row r="35">
          <cell r="B35" t="str">
            <v>07.30-07.45</v>
          </cell>
          <cell r="C35">
            <v>50.02</v>
          </cell>
          <cell r="E35">
            <v>1684</v>
          </cell>
          <cell r="T35">
            <v>1671.371191</v>
          </cell>
        </row>
        <row r="36">
          <cell r="B36" t="str">
            <v>07.45-08.00</v>
          </cell>
          <cell r="C36">
            <v>50.16</v>
          </cell>
          <cell r="E36">
            <v>1630</v>
          </cell>
          <cell r="T36">
            <v>1603.0814620000001</v>
          </cell>
        </row>
        <row r="37">
          <cell r="B37" t="str">
            <v>08.00-08.15</v>
          </cell>
          <cell r="C37">
            <v>50.1</v>
          </cell>
          <cell r="E37">
            <v>1598</v>
          </cell>
          <cell r="T37">
            <v>1618.0931029999999</v>
          </cell>
        </row>
        <row r="38">
          <cell r="B38" t="str">
            <v>08.15-08.30</v>
          </cell>
          <cell r="C38">
            <v>49.97</v>
          </cell>
          <cell r="E38">
            <v>1560</v>
          </cell>
          <cell r="T38">
            <v>1540.5391610000001</v>
          </cell>
        </row>
        <row r="39">
          <cell r="B39" t="str">
            <v>08.30-08.45</v>
          </cell>
          <cell r="C39">
            <v>49.94</v>
          </cell>
          <cell r="E39">
            <v>1564</v>
          </cell>
          <cell r="T39">
            <v>1550.9997599999999</v>
          </cell>
        </row>
        <row r="40">
          <cell r="B40" t="str">
            <v>08.45-09.00</v>
          </cell>
          <cell r="C40">
            <v>49.97</v>
          </cell>
          <cell r="E40">
            <v>1555</v>
          </cell>
          <cell r="T40">
            <v>1548.159298</v>
          </cell>
        </row>
        <row r="41">
          <cell r="B41" t="str">
            <v>09.00-09.15</v>
          </cell>
          <cell r="C41">
            <v>49.91</v>
          </cell>
          <cell r="E41">
            <v>1553</v>
          </cell>
          <cell r="T41">
            <v>1519.654164</v>
          </cell>
        </row>
        <row r="42">
          <cell r="B42" t="str">
            <v>09.15-09.30</v>
          </cell>
          <cell r="C42">
            <v>49.89</v>
          </cell>
          <cell r="E42">
            <v>1561</v>
          </cell>
          <cell r="T42">
            <v>1567.6401799999999</v>
          </cell>
        </row>
        <row r="43">
          <cell r="B43" t="str">
            <v>09.30-09.45</v>
          </cell>
          <cell r="C43">
            <v>49.92</v>
          </cell>
          <cell r="E43">
            <v>1567</v>
          </cell>
          <cell r="T43">
            <v>1566.8238609999999</v>
          </cell>
        </row>
        <row r="44">
          <cell r="B44" t="str">
            <v>09.45-10.00</v>
          </cell>
          <cell r="C44">
            <v>49.93</v>
          </cell>
          <cell r="E44">
            <v>1570</v>
          </cell>
          <cell r="T44">
            <v>1548.363861</v>
          </cell>
        </row>
        <row r="45">
          <cell r="B45" t="str">
            <v>10.00-10.15</v>
          </cell>
          <cell r="C45">
            <v>49.95</v>
          </cell>
          <cell r="E45">
            <v>1558</v>
          </cell>
          <cell r="T45">
            <v>1509.4113710000001</v>
          </cell>
        </row>
        <row r="46">
          <cell r="B46" t="str">
            <v>10.15-10.30</v>
          </cell>
          <cell r="C46">
            <v>49.99</v>
          </cell>
          <cell r="E46">
            <v>1547</v>
          </cell>
          <cell r="T46">
            <v>1511.9892559999998</v>
          </cell>
        </row>
        <row r="47">
          <cell r="B47" t="str">
            <v>10.30-10.45</v>
          </cell>
          <cell r="C47">
            <v>49.99</v>
          </cell>
          <cell r="E47">
            <v>1547</v>
          </cell>
          <cell r="T47">
            <v>1553.19802</v>
          </cell>
        </row>
        <row r="48">
          <cell r="B48" t="str">
            <v>10.45-11.00</v>
          </cell>
          <cell r="C48">
            <v>50.01</v>
          </cell>
          <cell r="E48">
            <v>1536</v>
          </cell>
          <cell r="T48">
            <v>1538.1780199999998</v>
          </cell>
        </row>
        <row r="49">
          <cell r="B49" t="str">
            <v>11.00-11.15</v>
          </cell>
          <cell r="C49">
            <v>50.02</v>
          </cell>
          <cell r="E49">
            <v>1494</v>
          </cell>
          <cell r="T49">
            <v>1396.8068229999999</v>
          </cell>
        </row>
        <row r="50">
          <cell r="B50" t="str">
            <v>11.15-11.30</v>
          </cell>
          <cell r="C50">
            <v>50.01</v>
          </cell>
          <cell r="E50">
            <v>1479</v>
          </cell>
          <cell r="T50">
            <v>1457.8611230000001</v>
          </cell>
        </row>
        <row r="51">
          <cell r="B51" t="str">
            <v>11.30-11.45</v>
          </cell>
          <cell r="C51">
            <v>50.04</v>
          </cell>
          <cell r="E51">
            <v>1471</v>
          </cell>
          <cell r="T51">
            <v>1478.2743639999999</v>
          </cell>
        </row>
        <row r="52">
          <cell r="B52" t="str">
            <v>11.45-12.00</v>
          </cell>
          <cell r="C52">
            <v>50.02</v>
          </cell>
          <cell r="E52">
            <v>1469</v>
          </cell>
          <cell r="T52">
            <v>1467.4866040000002</v>
          </cell>
        </row>
        <row r="53">
          <cell r="B53" t="str">
            <v>12.00-12.15</v>
          </cell>
          <cell r="C53">
            <v>50.02</v>
          </cell>
          <cell r="E53">
            <v>1462</v>
          </cell>
          <cell r="T53">
            <v>1448.8466039999998</v>
          </cell>
        </row>
        <row r="54">
          <cell r="B54" t="str">
            <v>12.15-12.30</v>
          </cell>
          <cell r="C54">
            <v>50</v>
          </cell>
          <cell r="E54">
            <v>1431</v>
          </cell>
          <cell r="T54">
            <v>1437.1124850000001</v>
          </cell>
        </row>
        <row r="55">
          <cell r="B55" t="str">
            <v>12:30-12:45</v>
          </cell>
          <cell r="C55">
            <v>49.97</v>
          </cell>
          <cell r="E55">
            <v>1432</v>
          </cell>
          <cell r="T55">
            <v>1372.1659070000001</v>
          </cell>
        </row>
        <row r="56">
          <cell r="B56" t="str">
            <v>12.45-13.00</v>
          </cell>
          <cell r="C56">
            <v>49.98</v>
          </cell>
          <cell r="E56">
            <v>1409</v>
          </cell>
          <cell r="T56">
            <v>1357.862922</v>
          </cell>
        </row>
        <row r="57">
          <cell r="B57" t="str">
            <v>13.00-13.15</v>
          </cell>
          <cell r="C57">
            <v>49.98</v>
          </cell>
          <cell r="E57">
            <v>1370</v>
          </cell>
          <cell r="T57">
            <v>1316</v>
          </cell>
        </row>
        <row r="58">
          <cell r="B58" t="str">
            <v>13.15-13.30</v>
          </cell>
          <cell r="C58">
            <v>49.96</v>
          </cell>
          <cell r="E58">
            <v>1352</v>
          </cell>
          <cell r="T58">
            <v>1282</v>
          </cell>
        </row>
        <row r="59">
          <cell r="B59" t="str">
            <v>13.30-13:45</v>
          </cell>
          <cell r="C59">
            <v>49.95</v>
          </cell>
          <cell r="E59">
            <v>1357</v>
          </cell>
          <cell r="T59">
            <v>1342</v>
          </cell>
        </row>
        <row r="60">
          <cell r="B60" t="str">
            <v>13.45-14.00</v>
          </cell>
          <cell r="C60">
            <v>49.97</v>
          </cell>
          <cell r="E60">
            <v>1351</v>
          </cell>
          <cell r="T60">
            <v>1321</v>
          </cell>
        </row>
        <row r="61">
          <cell r="B61" t="str">
            <v>14.00-14.15</v>
          </cell>
          <cell r="C61">
            <v>49.97</v>
          </cell>
          <cell r="E61">
            <v>1353</v>
          </cell>
          <cell r="T61">
            <v>1346</v>
          </cell>
        </row>
        <row r="62">
          <cell r="B62" t="str">
            <v>14.15-14.30</v>
          </cell>
          <cell r="C62">
            <v>49.97</v>
          </cell>
          <cell r="E62">
            <v>1364</v>
          </cell>
          <cell r="T62">
            <v>1343</v>
          </cell>
        </row>
        <row r="63">
          <cell r="B63" t="str">
            <v>14.30-14.45</v>
          </cell>
          <cell r="C63">
            <v>49.96</v>
          </cell>
          <cell r="E63">
            <v>1371</v>
          </cell>
          <cell r="T63">
            <v>1360</v>
          </cell>
        </row>
        <row r="64">
          <cell r="B64" t="str">
            <v>14.45-15.00</v>
          </cell>
          <cell r="C64">
            <v>49.91</v>
          </cell>
          <cell r="E64">
            <v>1411</v>
          </cell>
          <cell r="T64">
            <v>1365</v>
          </cell>
        </row>
        <row r="65">
          <cell r="B65" t="str">
            <v>15.00-15.15</v>
          </cell>
          <cell r="C65">
            <v>49.89</v>
          </cell>
          <cell r="E65">
            <v>1403</v>
          </cell>
          <cell r="T65">
            <v>1354</v>
          </cell>
        </row>
        <row r="66">
          <cell r="B66" t="str">
            <v>15.15-15.30</v>
          </cell>
          <cell r="C66">
            <v>49.95</v>
          </cell>
          <cell r="E66">
            <v>1419</v>
          </cell>
          <cell r="T66">
            <v>1395</v>
          </cell>
        </row>
        <row r="67">
          <cell r="B67" t="str">
            <v>15.30-15.45</v>
          </cell>
          <cell r="C67">
            <v>49.97</v>
          </cell>
          <cell r="E67">
            <v>1430</v>
          </cell>
          <cell r="T67">
            <v>1446</v>
          </cell>
        </row>
        <row r="68">
          <cell r="B68" t="str">
            <v>15.45-16.00</v>
          </cell>
          <cell r="C68">
            <v>49.98</v>
          </cell>
          <cell r="E68">
            <v>1432</v>
          </cell>
          <cell r="T68">
            <v>1414</v>
          </cell>
        </row>
        <row r="69">
          <cell r="B69" t="str">
            <v>16.00-16.15</v>
          </cell>
          <cell r="C69">
            <v>50.01</v>
          </cell>
          <cell r="E69">
            <v>1431</v>
          </cell>
          <cell r="T69">
            <v>1367</v>
          </cell>
        </row>
        <row r="70">
          <cell r="B70" t="str">
            <v>16.15-16.30</v>
          </cell>
          <cell r="C70">
            <v>49.95</v>
          </cell>
          <cell r="E70">
            <v>1418</v>
          </cell>
          <cell r="T70">
            <v>1378</v>
          </cell>
        </row>
        <row r="71">
          <cell r="B71" t="str">
            <v>16.30-16.45</v>
          </cell>
          <cell r="C71">
            <v>49.89</v>
          </cell>
          <cell r="E71">
            <v>1409</v>
          </cell>
          <cell r="T71">
            <v>1391</v>
          </cell>
        </row>
        <row r="72">
          <cell r="B72" t="str">
            <v>16.45-17.00</v>
          </cell>
          <cell r="C72">
            <v>49.95</v>
          </cell>
          <cell r="E72">
            <v>1432</v>
          </cell>
          <cell r="T72">
            <v>1392</v>
          </cell>
        </row>
        <row r="73">
          <cell r="B73" t="str">
            <v>17.00-17.15</v>
          </cell>
          <cell r="C73">
            <v>50.02</v>
          </cell>
          <cell r="E73">
            <v>1423</v>
          </cell>
          <cell r="T73">
            <v>1380</v>
          </cell>
        </row>
        <row r="74">
          <cell r="B74" t="str">
            <v>17.15-17.30</v>
          </cell>
          <cell r="C74">
            <v>49.97</v>
          </cell>
          <cell r="E74">
            <v>1404</v>
          </cell>
          <cell r="T74">
            <v>1334</v>
          </cell>
        </row>
        <row r="75">
          <cell r="B75" t="str">
            <v>17.30-17.45</v>
          </cell>
          <cell r="C75">
            <v>50.01</v>
          </cell>
          <cell r="E75">
            <v>1423</v>
          </cell>
          <cell r="T75">
            <v>1354</v>
          </cell>
        </row>
        <row r="76">
          <cell r="B76" t="str">
            <v>17.45-18.00</v>
          </cell>
          <cell r="C76">
            <v>50</v>
          </cell>
          <cell r="E76">
            <v>1397</v>
          </cell>
          <cell r="T76">
            <v>1389</v>
          </cell>
        </row>
        <row r="77">
          <cell r="B77" t="str">
            <v>18.00-18.15</v>
          </cell>
          <cell r="C77">
            <v>50.05</v>
          </cell>
          <cell r="E77">
            <v>1389</v>
          </cell>
          <cell r="T77">
            <v>1336</v>
          </cell>
        </row>
        <row r="78">
          <cell r="B78" t="str">
            <v>18.15-18.30</v>
          </cell>
          <cell r="C78">
            <v>50.02</v>
          </cell>
          <cell r="E78">
            <v>1390</v>
          </cell>
          <cell r="T78">
            <v>1351</v>
          </cell>
        </row>
        <row r="79">
          <cell r="B79" t="str">
            <v>18.30-18.45</v>
          </cell>
          <cell r="C79">
            <v>50.04</v>
          </cell>
          <cell r="E79">
            <v>1374</v>
          </cell>
          <cell r="T79">
            <v>1326</v>
          </cell>
        </row>
        <row r="80">
          <cell r="B80" t="str">
            <v>18.45-19.00</v>
          </cell>
          <cell r="C80">
            <v>50.01</v>
          </cell>
          <cell r="E80">
            <v>1414</v>
          </cell>
          <cell r="T80">
            <v>1343</v>
          </cell>
        </row>
        <row r="81">
          <cell r="B81" t="str">
            <v>19.00-19.15</v>
          </cell>
          <cell r="C81">
            <v>50.03</v>
          </cell>
          <cell r="E81">
            <v>1430</v>
          </cell>
          <cell r="T81">
            <v>1327</v>
          </cell>
        </row>
        <row r="82">
          <cell r="B82" t="str">
            <v>19.15-19.30</v>
          </cell>
          <cell r="C82">
            <v>50</v>
          </cell>
          <cell r="E82">
            <v>1467</v>
          </cell>
          <cell r="T82">
            <v>1361</v>
          </cell>
        </row>
        <row r="83">
          <cell r="B83" t="str">
            <v>19.30-19.45</v>
          </cell>
          <cell r="C83">
            <v>50.02</v>
          </cell>
          <cell r="E83">
            <v>1513</v>
          </cell>
          <cell r="T83">
            <v>1520</v>
          </cell>
        </row>
        <row r="84">
          <cell r="B84" t="str">
            <v>19.45-20.00</v>
          </cell>
          <cell r="C84">
            <v>49.99</v>
          </cell>
          <cell r="E84">
            <v>1492</v>
          </cell>
          <cell r="T84">
            <v>1461</v>
          </cell>
        </row>
        <row r="85">
          <cell r="B85" t="str">
            <v>20.00-20.15</v>
          </cell>
          <cell r="C85">
            <v>50.03</v>
          </cell>
          <cell r="E85">
            <v>1459</v>
          </cell>
          <cell r="T85">
            <v>1454</v>
          </cell>
        </row>
        <row r="86">
          <cell r="B86" t="str">
            <v>20.15-20.30</v>
          </cell>
          <cell r="C86">
            <v>50.05</v>
          </cell>
          <cell r="E86">
            <v>1434</v>
          </cell>
          <cell r="T86">
            <v>1457</v>
          </cell>
        </row>
        <row r="87">
          <cell r="B87" t="str">
            <v>20.30-20.45</v>
          </cell>
          <cell r="C87">
            <v>50.03</v>
          </cell>
          <cell r="E87">
            <v>1382</v>
          </cell>
          <cell r="T87">
            <v>1407</v>
          </cell>
        </row>
        <row r="88">
          <cell r="B88" t="str">
            <v>20.45-21.00</v>
          </cell>
          <cell r="C88">
            <v>50.05</v>
          </cell>
          <cell r="E88">
            <v>1370</v>
          </cell>
          <cell r="T88">
            <v>1357</v>
          </cell>
        </row>
        <row r="89">
          <cell r="B89" t="str">
            <v>21.00-21.15</v>
          </cell>
          <cell r="C89">
            <v>50.01</v>
          </cell>
          <cell r="E89">
            <v>1340</v>
          </cell>
          <cell r="T89">
            <v>1414</v>
          </cell>
        </row>
        <row r="90">
          <cell r="B90" t="str">
            <v>21.15-21.30</v>
          </cell>
          <cell r="C90">
            <v>50.03</v>
          </cell>
          <cell r="E90">
            <v>1306</v>
          </cell>
          <cell r="T90">
            <v>1368</v>
          </cell>
        </row>
        <row r="91">
          <cell r="B91" t="str">
            <v>21.30-21.45</v>
          </cell>
          <cell r="C91">
            <v>50.04</v>
          </cell>
          <cell r="E91">
            <v>1305</v>
          </cell>
          <cell r="T91">
            <v>1310</v>
          </cell>
        </row>
        <row r="92">
          <cell r="B92" t="str">
            <v>21.45-22.00</v>
          </cell>
          <cell r="C92">
            <v>50.06</v>
          </cell>
          <cell r="E92">
            <v>1270</v>
          </cell>
          <cell r="T92">
            <v>1279</v>
          </cell>
        </row>
        <row r="93">
          <cell r="B93" t="str">
            <v>22.00-22.15</v>
          </cell>
          <cell r="C93">
            <v>50.03</v>
          </cell>
          <cell r="E93">
            <v>1232</v>
          </cell>
          <cell r="T93">
            <v>1244</v>
          </cell>
        </row>
        <row r="94">
          <cell r="B94" t="str">
            <v>22.15-22.30</v>
          </cell>
          <cell r="C94">
            <v>50.02</v>
          </cell>
          <cell r="E94">
            <v>1193</v>
          </cell>
          <cell r="T94">
            <v>1222</v>
          </cell>
        </row>
        <row r="95">
          <cell r="B95" t="str">
            <v>22.30-22.45</v>
          </cell>
          <cell r="C95">
            <v>50.03</v>
          </cell>
          <cell r="E95">
            <v>1179</v>
          </cell>
          <cell r="T95">
            <v>1233</v>
          </cell>
        </row>
        <row r="96">
          <cell r="B96" t="str">
            <v>22.45-23.00</v>
          </cell>
          <cell r="C96">
            <v>50.02</v>
          </cell>
          <cell r="E96">
            <v>1158</v>
          </cell>
          <cell r="T96">
            <v>1215</v>
          </cell>
        </row>
        <row r="97">
          <cell r="B97" t="str">
            <v>23.00-23.15</v>
          </cell>
          <cell r="C97">
            <v>50</v>
          </cell>
          <cell r="E97">
            <v>1157</v>
          </cell>
          <cell r="T97">
            <v>1144</v>
          </cell>
        </row>
        <row r="98">
          <cell r="B98" t="str">
            <v>23.15-23.30</v>
          </cell>
          <cell r="C98">
            <v>50.01</v>
          </cell>
          <cell r="E98">
            <v>1135</v>
          </cell>
          <cell r="T98">
            <v>1122</v>
          </cell>
        </row>
        <row r="99">
          <cell r="B99" t="str">
            <v>23.30-23.45</v>
          </cell>
          <cell r="C99">
            <v>50.02</v>
          </cell>
          <cell r="E99">
            <v>1122</v>
          </cell>
          <cell r="T99">
            <v>1086</v>
          </cell>
        </row>
        <row r="100">
          <cell r="B100" t="str">
            <v>23.45-24.00</v>
          </cell>
          <cell r="C100">
            <v>50.02</v>
          </cell>
          <cell r="E100">
            <v>1091</v>
          </cell>
          <cell r="T100">
            <v>1018</v>
          </cell>
        </row>
        <row r="101">
          <cell r="C101">
            <v>49.996041666666677</v>
          </cell>
          <cell r="E101">
            <v>323.35000000000002</v>
          </cell>
          <cell r="AJ101">
            <v>5.5070221433093458</v>
          </cell>
          <cell r="BA101" t="str">
            <v>07.45-08.00</v>
          </cell>
        </row>
        <row r="102">
          <cell r="BA102" t="str">
            <v>09.15-09.30</v>
          </cell>
          <cell r="BC102">
            <v>49.89</v>
          </cell>
          <cell r="BD102">
            <v>0</v>
          </cell>
          <cell r="BF102">
            <v>6.6401799999999866</v>
          </cell>
          <cell r="BG102">
            <v>50.16</v>
          </cell>
          <cell r="BH102">
            <v>26.918538000000012</v>
          </cell>
          <cell r="BJ102">
            <v>0</v>
          </cell>
        </row>
        <row r="104">
          <cell r="B104">
            <v>1727</v>
          </cell>
        </row>
        <row r="105">
          <cell r="A105" t="str">
            <v xml:space="preserve">Max Demand observed (MW) (at 07.30 Hrs.) </v>
          </cell>
        </row>
        <row r="106">
          <cell r="B106">
            <v>1026</v>
          </cell>
          <cell r="Q106">
            <v>5.0341017445393685</v>
          </cell>
          <cell r="R106">
            <v>3.147507590204544</v>
          </cell>
        </row>
        <row r="107">
          <cell r="A107" t="str">
            <v xml:space="preserve">Min Demand at observed (MW) (at 00.30 Hrs.) </v>
          </cell>
        </row>
      </sheetData>
      <sheetData sheetId="7">
        <row r="101">
          <cell r="G101">
            <v>41.422650000000012</v>
          </cell>
          <cell r="CI101">
            <v>-0.86567499999999997</v>
          </cell>
          <cell r="CP101">
            <v>42.04852499999997</v>
          </cell>
        </row>
        <row r="107">
          <cell r="AN107">
            <v>83.508016260000019</v>
          </cell>
        </row>
        <row r="109">
          <cell r="AN109">
            <v>6.3467749999999974</v>
          </cell>
        </row>
      </sheetData>
      <sheetData sheetId="8"/>
      <sheetData sheetId="9"/>
      <sheetData sheetId="10">
        <row r="86">
          <cell r="AB86">
            <v>0</v>
          </cell>
        </row>
        <row r="101">
          <cell r="B101" t="str">
            <v>Market Purchase  (OA Consumers)</v>
          </cell>
          <cell r="AB101">
            <v>0</v>
          </cell>
          <cell r="AC101">
            <v>0</v>
          </cell>
        </row>
        <row r="102">
          <cell r="B102" t="str">
            <v xml:space="preserve">HPSEBL Import Through IEX </v>
          </cell>
          <cell r="AB102">
            <v>4396.0749999999998</v>
          </cell>
          <cell r="AC102">
            <v>4240.8935524999997</v>
          </cell>
        </row>
        <row r="103">
          <cell r="B103" t="str">
            <v>Import through RTM IEX</v>
          </cell>
          <cell r="AB103">
            <v>5434.97</v>
          </cell>
          <cell r="AC103">
            <v>5243.1155589999998</v>
          </cell>
        </row>
        <row r="104">
          <cell r="B104" t="str">
            <v>G DAM THROUGH HPSEBL</v>
          </cell>
          <cell r="AB104">
            <v>0</v>
          </cell>
          <cell r="AC104">
            <v>0</v>
          </cell>
        </row>
        <row r="105">
          <cell r="B105" t="str">
            <v>GoHP to HPSEBL</v>
          </cell>
          <cell r="AB105">
            <v>0</v>
          </cell>
          <cell r="AC105">
            <v>0</v>
          </cell>
        </row>
        <row r="106">
          <cell r="B106" t="str">
            <v>BRPL through APPCL</v>
          </cell>
          <cell r="AB106">
            <v>0</v>
          </cell>
          <cell r="AC106">
            <v>0</v>
          </cell>
        </row>
        <row r="107">
          <cell r="B107" t="str">
            <v>BRPL through MPL</v>
          </cell>
          <cell r="AB107">
            <v>0</v>
          </cell>
          <cell r="AC107">
            <v>0</v>
          </cell>
        </row>
        <row r="108">
          <cell r="B108" t="str">
            <v xml:space="preserve">BRPL through MPL </v>
          </cell>
          <cell r="AB108">
            <v>0</v>
          </cell>
          <cell r="AC108">
            <v>0</v>
          </cell>
        </row>
        <row r="109">
          <cell r="B109" t="str">
            <v>MEJA</v>
          </cell>
          <cell r="AB109">
            <v>0</v>
          </cell>
          <cell r="AC109">
            <v>0</v>
          </cell>
        </row>
        <row r="110">
          <cell r="B110" t="str">
            <v>PUNJAB through APPCPL</v>
          </cell>
          <cell r="AB110">
            <v>0</v>
          </cell>
          <cell r="AC110">
            <v>0</v>
          </cell>
        </row>
        <row r="111">
          <cell r="B111" t="str">
            <v>IEXL ( JPL-2 &amp; DBPL &amp; OPGPGUNIT1TN)</v>
          </cell>
          <cell r="AB111">
            <v>0</v>
          </cell>
          <cell r="AC111">
            <v>0</v>
          </cell>
        </row>
        <row r="112">
          <cell r="B112" t="str">
            <v>SECI-Solar (LTA PURCHASE)</v>
          </cell>
          <cell r="AC112">
            <v>125.32249999999999</v>
          </cell>
        </row>
        <row r="113">
          <cell r="B113" t="str">
            <v>BYPL through APPCPL</v>
          </cell>
          <cell r="AB113">
            <v>0</v>
          </cell>
          <cell r="AC113">
            <v>0</v>
          </cell>
        </row>
        <row r="116">
          <cell r="AB116">
            <v>0</v>
          </cell>
          <cell r="AC116">
            <v>0</v>
          </cell>
        </row>
        <row r="117">
          <cell r="AB117">
            <v>377.5</v>
          </cell>
          <cell r="AC117">
            <v>377.5</v>
          </cell>
        </row>
        <row r="119">
          <cell r="B119" t="str">
            <v>GDAM  THROUGH HPSEBL</v>
          </cell>
          <cell r="AB119">
            <v>0</v>
          </cell>
          <cell r="AC119">
            <v>0</v>
          </cell>
        </row>
        <row r="120">
          <cell r="B120" t="str">
            <v>BRPL THROUGH MPL</v>
          </cell>
          <cell r="AB120">
            <v>0</v>
          </cell>
          <cell r="AC120">
            <v>0</v>
          </cell>
        </row>
        <row r="121">
          <cell r="B121" t="str">
            <v>BYPL THROUGH APPCPL</v>
          </cell>
          <cell r="AB121">
            <v>0</v>
          </cell>
          <cell r="AC121">
            <v>0</v>
          </cell>
        </row>
        <row r="122">
          <cell r="B122" t="str">
            <v>BRPL THROUGH APPCPL</v>
          </cell>
          <cell r="AB122">
            <v>0</v>
          </cell>
          <cell r="AC122">
            <v>0</v>
          </cell>
        </row>
        <row r="123">
          <cell r="B123" t="str">
            <v>PSPCL THROUGH APPCPL &amp; PTC</v>
          </cell>
          <cell r="AB123">
            <v>0</v>
          </cell>
          <cell r="AC123">
            <v>0</v>
          </cell>
        </row>
        <row r="124">
          <cell r="B124" t="str">
            <v>BYPL THROUGH  STATKRAFT</v>
          </cell>
          <cell r="AB124">
            <v>0</v>
          </cell>
          <cell r="AC124">
            <v>0</v>
          </cell>
        </row>
        <row r="125">
          <cell r="B125" t="str">
            <v>PUNJAB THROUGH APPCPL</v>
          </cell>
          <cell r="AB125">
            <v>0</v>
          </cell>
          <cell r="AC125">
            <v>0</v>
          </cell>
        </row>
        <row r="126">
          <cell r="B126" t="str">
            <v>BYPL THROUGH  MPL</v>
          </cell>
          <cell r="AB126">
            <v>0</v>
          </cell>
          <cell r="AC126">
            <v>0</v>
          </cell>
        </row>
        <row r="127">
          <cell r="B127" t="str">
            <v>AS &amp; WHEN</v>
          </cell>
          <cell r="AB127">
            <v>0</v>
          </cell>
          <cell r="AC127">
            <v>0</v>
          </cell>
        </row>
        <row r="128">
          <cell r="B128" t="str">
            <v>WEST BENGAL THROUGH IPCL</v>
          </cell>
          <cell r="AB128">
            <v>0</v>
          </cell>
          <cell r="AC128">
            <v>0</v>
          </cell>
        </row>
        <row r="129">
          <cell r="B129" t="str">
            <v>MEGHALAYA THROUGH KEIPL</v>
          </cell>
          <cell r="AB129">
            <v>0</v>
          </cell>
          <cell r="AC129">
            <v>0</v>
          </cell>
        </row>
        <row r="130">
          <cell r="B130" t="str">
            <v>WEST BENGAL THROUGH IPCL</v>
          </cell>
          <cell r="AB130">
            <v>0</v>
          </cell>
          <cell r="AC130">
            <v>0</v>
          </cell>
        </row>
        <row r="134">
          <cell r="B134" t="str">
            <v>DIAL &amp; ODISHA (RE Through M/s GMR)</v>
          </cell>
          <cell r="AB134">
            <v>0</v>
          </cell>
          <cell r="AC134">
            <v>0</v>
          </cell>
        </row>
        <row r="135">
          <cell r="B135" t="str">
            <v>TPDDL (RE Through M/s TPTCL) RTC Power</v>
          </cell>
          <cell r="AB135">
            <v>0</v>
          </cell>
          <cell r="AC135">
            <v>0</v>
          </cell>
        </row>
        <row r="136">
          <cell r="B136" t="str">
            <v>PSPCL (RE Through M/s PTC) RTC Power</v>
          </cell>
          <cell r="AB136">
            <v>0</v>
          </cell>
          <cell r="AC136">
            <v>0</v>
          </cell>
        </row>
        <row r="137">
          <cell r="B137" t="str">
            <v>PXIL GTAM</v>
          </cell>
          <cell r="AB137">
            <v>0</v>
          </cell>
          <cell r="AC137">
            <v>0</v>
          </cell>
        </row>
        <row r="138">
          <cell r="B138">
            <v>0</v>
          </cell>
          <cell r="AB138">
            <v>0</v>
          </cell>
          <cell r="AC138">
            <v>0</v>
          </cell>
        </row>
      </sheetData>
      <sheetData sheetId="11"/>
      <sheetData sheetId="12"/>
      <sheetData sheetId="13"/>
      <sheetData sheetId="14">
        <row r="8">
          <cell r="AQ8" t="str">
            <v>SINGRAULI_SOLAR</v>
          </cell>
        </row>
        <row r="105">
          <cell r="AQ105">
            <v>0.80505000000000004</v>
          </cell>
          <cell r="BD105">
            <v>152.93947301749998</v>
          </cell>
        </row>
      </sheetData>
      <sheetData sheetId="15">
        <row r="100">
          <cell r="DI100">
            <v>0</v>
          </cell>
          <cell r="DK100">
            <v>0</v>
          </cell>
        </row>
      </sheetData>
      <sheetData sheetId="16">
        <row r="105">
          <cell r="BD105">
            <v>0</v>
          </cell>
          <cell r="BE105">
            <v>0</v>
          </cell>
          <cell r="BF105">
            <v>0</v>
          </cell>
        </row>
      </sheetData>
      <sheetData sheetId="17">
        <row r="12">
          <cell r="T12">
            <v>1.1320000000000001</v>
          </cell>
          <cell r="V12">
            <v>0.10688000000000031</v>
          </cell>
        </row>
        <row r="17">
          <cell r="T17">
            <v>0</v>
          </cell>
          <cell r="V17">
            <v>-0.35627500000000012</v>
          </cell>
        </row>
        <row r="22">
          <cell r="T22">
            <v>4.4200000000000003E-2</v>
          </cell>
          <cell r="V22">
            <v>8.4942999999999991E-2</v>
          </cell>
        </row>
        <row r="28">
          <cell r="T28">
            <v>0.71044700000000005</v>
          </cell>
          <cell r="V28">
            <v>-4.5165520000000292E-2</v>
          </cell>
        </row>
        <row r="34">
          <cell r="T34">
            <v>0.34879500000000002</v>
          </cell>
          <cell r="V34">
            <v>-0.34394324000000021</v>
          </cell>
        </row>
        <row r="40">
          <cell r="T40">
            <v>0.114034</v>
          </cell>
          <cell r="V40">
            <v>2.9066560000000075E-2</v>
          </cell>
        </row>
        <row r="46">
          <cell r="T46">
            <v>0</v>
          </cell>
          <cell r="V46">
            <v>0</v>
          </cell>
        </row>
        <row r="52">
          <cell r="T52">
            <v>0.42770000000000002</v>
          </cell>
          <cell r="V52">
            <v>-0.14354928000000039</v>
          </cell>
        </row>
        <row r="58">
          <cell r="T58">
            <v>0</v>
          </cell>
          <cell r="V58">
            <v>0</v>
          </cell>
        </row>
        <row r="64">
          <cell r="T64">
            <v>3.6900000000000002E-2</v>
          </cell>
          <cell r="V64">
            <v>2.7476000000000056E-2</v>
          </cell>
        </row>
        <row r="70">
          <cell r="V70">
            <v>-0.17137800000000025</v>
          </cell>
        </row>
        <row r="77">
          <cell r="V77">
            <v>-0.18235200000000029</v>
          </cell>
        </row>
        <row r="82">
          <cell r="V82">
            <v>-0.39118480000000044</v>
          </cell>
        </row>
        <row r="87">
          <cell r="T87">
            <v>0.18679999999999999</v>
          </cell>
          <cell r="U87">
            <v>0.88169599999999804</v>
          </cell>
        </row>
      </sheetData>
      <sheetData sheetId="18"/>
      <sheetData sheetId="19"/>
      <sheetData sheetId="20">
        <row r="2">
          <cell r="C2">
            <v>45406</v>
          </cell>
        </row>
        <row r="6">
          <cell r="Q6">
            <v>1.51</v>
          </cell>
        </row>
        <row r="10">
          <cell r="D10">
            <v>23.19</v>
          </cell>
          <cell r="E10">
            <v>23.19</v>
          </cell>
          <cell r="F10">
            <v>0</v>
          </cell>
          <cell r="G10">
            <v>0</v>
          </cell>
          <cell r="H10">
            <v>0</v>
          </cell>
        </row>
        <row r="11">
          <cell r="D11">
            <v>19.2</v>
          </cell>
          <cell r="E11">
            <v>19.2</v>
          </cell>
          <cell r="F11">
            <v>10.84</v>
          </cell>
          <cell r="G11">
            <v>10.15</v>
          </cell>
          <cell r="H11">
            <v>79</v>
          </cell>
        </row>
        <row r="12">
          <cell r="D12">
            <v>9.8000000000000007</v>
          </cell>
          <cell r="E12">
            <v>9.8000000000000007</v>
          </cell>
          <cell r="F12">
            <v>11.9475</v>
          </cell>
          <cell r="G12">
            <v>12.65</v>
          </cell>
          <cell r="H12">
            <v>66</v>
          </cell>
        </row>
        <row r="13">
          <cell r="D13">
            <v>0.73</v>
          </cell>
          <cell r="E13">
            <v>0.73</v>
          </cell>
          <cell r="F13">
            <v>2.2050000000000001</v>
          </cell>
          <cell r="G13">
            <v>2.04</v>
          </cell>
          <cell r="H13">
            <v>30</v>
          </cell>
        </row>
        <row r="14">
          <cell r="D14">
            <v>4.07</v>
          </cell>
          <cell r="E14">
            <v>4.07</v>
          </cell>
          <cell r="F14">
            <v>1.2725</v>
          </cell>
          <cell r="G14">
            <v>2.2799999999999998</v>
          </cell>
          <cell r="H14">
            <v>11.6</v>
          </cell>
        </row>
        <row r="15">
          <cell r="D15">
            <v>1.71</v>
          </cell>
          <cell r="E15">
            <v>1.71</v>
          </cell>
          <cell r="F15">
            <v>1.2</v>
          </cell>
          <cell r="G15">
            <v>1.41</v>
          </cell>
          <cell r="H15">
            <v>10</v>
          </cell>
        </row>
        <row r="16">
          <cell r="D16">
            <v>0.87</v>
          </cell>
          <cell r="E16">
            <v>0.87</v>
          </cell>
          <cell r="F16">
            <v>2.4</v>
          </cell>
          <cell r="G16">
            <v>0.97</v>
          </cell>
          <cell r="H16">
            <v>5.0999999999999996</v>
          </cell>
        </row>
        <row r="17">
          <cell r="D17">
            <v>0.81</v>
          </cell>
          <cell r="E17">
            <v>0.81</v>
          </cell>
          <cell r="F17">
            <v>2.4</v>
          </cell>
          <cell r="G17">
            <v>1.77</v>
          </cell>
          <cell r="H17">
            <v>9</v>
          </cell>
        </row>
        <row r="18">
          <cell r="D18">
            <v>0.92</v>
          </cell>
          <cell r="E18">
            <v>0.92</v>
          </cell>
          <cell r="F18">
            <v>1.2</v>
          </cell>
          <cell r="G18">
            <v>1.27</v>
          </cell>
          <cell r="H18">
            <v>5.52</v>
          </cell>
        </row>
        <row r="19">
          <cell r="D19">
            <v>2.41</v>
          </cell>
          <cell r="E19">
            <v>2.41</v>
          </cell>
          <cell r="F19">
            <v>1.7450000000000001</v>
          </cell>
          <cell r="G19">
            <v>0.84</v>
          </cell>
          <cell r="H19">
            <v>5.01</v>
          </cell>
        </row>
        <row r="20">
          <cell r="D20">
            <v>0.73</v>
          </cell>
          <cell r="E20">
            <v>0.73</v>
          </cell>
          <cell r="F20">
            <v>0.12</v>
          </cell>
          <cell r="G20">
            <v>0.72</v>
          </cell>
          <cell r="H20">
            <v>3</v>
          </cell>
        </row>
        <row r="21">
          <cell r="D21">
            <v>0.25</v>
          </cell>
          <cell r="E21">
            <v>0.25</v>
          </cell>
          <cell r="F21">
            <v>0.12</v>
          </cell>
          <cell r="G21">
            <v>0</v>
          </cell>
          <cell r="H21">
            <v>0</v>
          </cell>
        </row>
        <row r="22">
          <cell r="D22">
            <v>1.53</v>
          </cell>
          <cell r="E22">
            <v>1.52</v>
          </cell>
          <cell r="F22">
            <v>0.25440000000000035</v>
          </cell>
          <cell r="G22">
            <v>2.12</v>
          </cell>
        </row>
        <row r="24">
          <cell r="F24">
            <v>0</v>
          </cell>
          <cell r="G24">
            <v>0.85</v>
          </cell>
        </row>
        <row r="25">
          <cell r="F25">
            <v>1.3</v>
          </cell>
          <cell r="G25">
            <v>1.49</v>
          </cell>
        </row>
        <row r="28">
          <cell r="F28">
            <v>11.8</v>
          </cell>
          <cell r="G28">
            <v>12.04</v>
          </cell>
          <cell r="H28">
            <v>300</v>
          </cell>
        </row>
        <row r="29">
          <cell r="F29">
            <v>4.5440999999999976</v>
          </cell>
          <cell r="G29">
            <v>5.66</v>
          </cell>
          <cell r="H29">
            <v>44</v>
          </cell>
        </row>
        <row r="30">
          <cell r="B30" t="str">
            <v>KASHANG (3x65 MW)</v>
          </cell>
          <cell r="D30">
            <v>0</v>
          </cell>
          <cell r="E30">
            <v>0</v>
          </cell>
          <cell r="F30">
            <v>3.15</v>
          </cell>
          <cell r="G30">
            <v>3.29</v>
          </cell>
          <cell r="H30">
            <v>70</v>
          </cell>
        </row>
        <row r="31">
          <cell r="F31">
            <v>5.2170000000000005</v>
          </cell>
          <cell r="G31">
            <v>5.24</v>
          </cell>
          <cell r="H31">
            <v>81.400000000000006</v>
          </cell>
        </row>
        <row r="32">
          <cell r="F32">
            <v>43.92</v>
          </cell>
          <cell r="G32">
            <v>35.96</v>
          </cell>
        </row>
        <row r="33">
          <cell r="F33">
            <v>4.5440999999999976</v>
          </cell>
          <cell r="G33">
            <v>4.16</v>
          </cell>
        </row>
        <row r="34">
          <cell r="F34">
            <v>1.164000000000001</v>
          </cell>
          <cell r="G34">
            <v>0.34</v>
          </cell>
        </row>
        <row r="35">
          <cell r="F35">
            <v>4.68</v>
          </cell>
          <cell r="G35">
            <v>5.29</v>
          </cell>
        </row>
        <row r="36">
          <cell r="F36">
            <v>2.1635000000000009</v>
          </cell>
          <cell r="G36">
            <v>2.0699999999999998</v>
          </cell>
        </row>
        <row r="37">
          <cell r="F37">
            <v>0.76400000000000068</v>
          </cell>
          <cell r="G37">
            <v>0.67</v>
          </cell>
        </row>
        <row r="38">
          <cell r="F38">
            <v>0</v>
          </cell>
          <cell r="G38">
            <v>0</v>
          </cell>
        </row>
        <row r="39">
          <cell r="G39">
            <v>3.69</v>
          </cell>
        </row>
        <row r="40">
          <cell r="G40">
            <v>0</v>
          </cell>
        </row>
        <row r="41">
          <cell r="G41">
            <v>5.29</v>
          </cell>
        </row>
        <row r="42">
          <cell r="G42">
            <v>1.51</v>
          </cell>
        </row>
        <row r="43">
          <cell r="G43">
            <v>2.6509999999999998</v>
          </cell>
        </row>
        <row r="44">
          <cell r="G44">
            <v>18.68</v>
          </cell>
        </row>
        <row r="45">
          <cell r="G45">
            <v>0.63914000000000004</v>
          </cell>
        </row>
        <row r="46">
          <cell r="G46">
            <v>0.318</v>
          </cell>
        </row>
        <row r="47">
          <cell r="G47">
            <v>0.24</v>
          </cell>
        </row>
        <row r="48">
          <cell r="G48">
            <v>6.0338000000000003</v>
          </cell>
        </row>
        <row r="49">
          <cell r="G49">
            <v>1.2308699999999999</v>
          </cell>
        </row>
        <row r="50">
          <cell r="G50">
            <v>1.8004500000000001</v>
          </cell>
        </row>
        <row r="51">
          <cell r="G51">
            <v>1.1601999999999999</v>
          </cell>
        </row>
        <row r="54">
          <cell r="F54">
            <v>142.00349999999995</v>
          </cell>
        </row>
        <row r="65">
          <cell r="C65">
            <v>15.781225000000001</v>
          </cell>
        </row>
        <row r="80">
          <cell r="I80">
            <v>221.80440999999999</v>
          </cell>
        </row>
      </sheetData>
      <sheetData sheetId="21"/>
      <sheetData sheetId="22"/>
      <sheetData sheetId="23"/>
      <sheetData sheetId="24">
        <row r="105">
          <cell r="BC105">
            <v>15.644566695000004</v>
          </cell>
        </row>
      </sheetData>
      <sheetData sheetId="25"/>
      <sheetData sheetId="26"/>
      <sheetData sheetId="27">
        <row r="5">
          <cell r="AF5">
            <v>6.83</v>
          </cell>
        </row>
        <row r="7">
          <cell r="AF7">
            <v>2.76</v>
          </cell>
        </row>
        <row r="23">
          <cell r="AF23">
            <v>0</v>
          </cell>
        </row>
      </sheetData>
      <sheetData sheetId="28"/>
      <sheetData sheetId="29"/>
      <sheetData sheetId="30"/>
      <sheetData sheetId="31"/>
      <sheetData sheetId="32">
        <row r="106">
          <cell r="I106" t="str">
            <v>FP 12% in  Ch-1, Ch-2, B.Suil, FP 13% in Ch3, Parbati-3, 13 % FP in Rampur, FP 12% NJPC &amp;  Koldam purchased form GoHP</v>
          </cell>
        </row>
        <row r="107">
          <cell r="I107" t="str">
            <v>Equity : NJPC 22%,  Rampur  26.1%, Koldam 15% UA &amp; SOR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4"/>
      <sheetName val="Sheet3"/>
      <sheetName val="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1">
          <cell r="X11">
            <v>79.47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A1CA71-88AF-47CD-9619-795AA6B899D4}">
  <sheetPr>
    <tabColor rgb="FF00B050"/>
    <pageSetUpPr fitToPage="1"/>
  </sheetPr>
  <dimension ref="A1:AB158"/>
  <sheetViews>
    <sheetView showGridLines="0" tabSelected="1" view="pageBreakPreview" topLeftCell="A56" zoomScale="70" zoomScaleSheetLayoutView="70" workbookViewId="0">
      <selection activeCell="N34" sqref="N34"/>
    </sheetView>
  </sheetViews>
  <sheetFormatPr defaultColWidth="38.28515625" defaultRowHeight="15" x14ac:dyDescent="0.25"/>
  <cols>
    <col min="1" max="1" width="7.7109375" style="277" customWidth="1"/>
    <col min="2" max="2" width="44.85546875" style="11" customWidth="1"/>
    <col min="3" max="3" width="17.85546875" style="11" customWidth="1"/>
    <col min="4" max="4" width="24.5703125" style="11" customWidth="1"/>
    <col min="5" max="5" width="13.140625" style="11" customWidth="1"/>
    <col min="6" max="6" width="16.85546875" style="11" customWidth="1"/>
    <col min="7" max="7" width="34.5703125" style="11" customWidth="1"/>
    <col min="8" max="8" width="18.85546875" style="11" customWidth="1"/>
    <col min="9" max="9" width="31.42578125" style="266" customWidth="1"/>
    <col min="10" max="10" width="8.7109375" style="11" customWidth="1"/>
    <col min="11" max="11" width="18.28515625" style="11" customWidth="1"/>
    <col min="12" max="12" width="14.140625" style="11" customWidth="1"/>
    <col min="13" max="14" width="9.140625" style="11" customWidth="1"/>
    <col min="15" max="15" width="13.42578125" style="11" customWidth="1"/>
    <col min="16" max="16" width="16.5703125" style="11" customWidth="1"/>
    <col min="17" max="18" width="9.140625" style="11" customWidth="1"/>
    <col min="19" max="19" width="17.85546875" style="11" customWidth="1"/>
    <col min="20" max="243" width="9.140625" style="11" customWidth="1"/>
    <col min="244" max="244" width="25" style="11" customWidth="1"/>
    <col min="245" max="245" width="164" style="11" customWidth="1"/>
    <col min="246" max="246" width="99.140625" style="11" customWidth="1"/>
    <col min="247" max="247" width="79.140625" style="11" customWidth="1"/>
    <col min="248" max="248" width="81.85546875" style="11" customWidth="1"/>
    <col min="249" max="249" width="92.42578125" style="11" customWidth="1"/>
    <col min="250" max="250" width="74.85546875" style="11" customWidth="1"/>
    <col min="251" max="251" width="96.42578125" style="11" customWidth="1"/>
    <col min="252" max="252" width="148.42578125" style="11" customWidth="1"/>
    <col min="253" max="253" width="15.28515625" style="11" customWidth="1"/>
    <col min="254" max="254" width="87.7109375" style="11" customWidth="1"/>
    <col min="255" max="255" width="32" style="11" customWidth="1"/>
    <col min="256" max="16384" width="38.28515625" style="11"/>
  </cols>
  <sheetData>
    <row r="1" spans="1:18" s="6" customFormat="1" ht="33" customHeight="1" x14ac:dyDescent="0.25">
      <c r="A1" s="1"/>
      <c r="B1" s="2" t="s">
        <v>0</v>
      </c>
      <c r="C1" s="3">
        <f>'[1]Form-1_AnticipatedVsActual_BI'!C2:H2</f>
        <v>45406</v>
      </c>
      <c r="D1" s="4"/>
      <c r="E1" s="4"/>
      <c r="F1" s="4"/>
      <c r="G1" s="4"/>
      <c r="H1" s="4"/>
      <c r="I1" s="5"/>
    </row>
    <row r="2" spans="1:18" ht="21" customHeight="1" x14ac:dyDescent="0.3">
      <c r="A2" s="7"/>
      <c r="B2" s="8" t="s">
        <v>1</v>
      </c>
      <c r="C2" s="9"/>
      <c r="D2" s="9"/>
      <c r="E2" s="9"/>
      <c r="F2" s="9"/>
      <c r="G2" s="9"/>
      <c r="H2" s="9"/>
      <c r="I2" s="9"/>
      <c r="J2" s="10"/>
    </row>
    <row r="3" spans="1:18" ht="14.45" customHeight="1" x14ac:dyDescent="0.3">
      <c r="A3" s="7"/>
      <c r="B3" s="12"/>
      <c r="C3" s="13"/>
      <c r="D3" s="13"/>
      <c r="E3" s="13"/>
      <c r="F3" s="13"/>
      <c r="G3" s="13"/>
      <c r="H3" s="13"/>
      <c r="I3" s="13"/>
      <c r="J3" s="14"/>
    </row>
    <row r="4" spans="1:18" ht="25.15" customHeight="1" x14ac:dyDescent="0.25">
      <c r="A4" s="7"/>
      <c r="B4" s="15" t="s">
        <v>2</v>
      </c>
      <c r="C4" s="16"/>
      <c r="D4" s="16"/>
      <c r="E4" s="16"/>
      <c r="F4" s="16"/>
      <c r="G4" s="16"/>
      <c r="H4" s="16"/>
      <c r="I4" s="16"/>
      <c r="J4" s="17"/>
    </row>
    <row r="5" spans="1:18" ht="24" customHeight="1" x14ac:dyDescent="0.3">
      <c r="A5" s="18"/>
      <c r="B5" s="19"/>
      <c r="C5" s="20" t="s">
        <v>3</v>
      </c>
      <c r="D5" s="20"/>
      <c r="E5" s="20"/>
      <c r="F5" s="20"/>
      <c r="G5" s="20"/>
      <c r="H5" s="21" t="s">
        <v>4</v>
      </c>
      <c r="I5" s="22">
        <f>D11+1</f>
        <v>45407</v>
      </c>
      <c r="J5" s="23"/>
    </row>
    <row r="6" spans="1:18" ht="18" customHeight="1" x14ac:dyDescent="0.3">
      <c r="A6" s="24" t="s">
        <v>5</v>
      </c>
      <c r="B6" s="25"/>
      <c r="C6" s="25"/>
      <c r="D6" s="26"/>
      <c r="E6" s="27" t="s">
        <v>6</v>
      </c>
      <c r="F6" s="28"/>
      <c r="G6" s="25"/>
      <c r="H6" s="25"/>
      <c r="I6" s="29"/>
      <c r="J6" s="23"/>
    </row>
    <row r="7" spans="1:18" ht="22.9" customHeight="1" x14ac:dyDescent="0.25">
      <c r="A7" s="30"/>
      <c r="B7" s="31" t="s">
        <v>7</v>
      </c>
      <c r="C7" s="31"/>
      <c r="D7" s="25"/>
      <c r="E7" s="28"/>
      <c r="F7" s="31" t="s">
        <v>8</v>
      </c>
      <c r="G7" s="28"/>
      <c r="H7" s="28"/>
      <c r="I7" s="29"/>
    </row>
    <row r="8" spans="1:18" ht="15.6" customHeight="1" x14ac:dyDescent="0.25">
      <c r="A8" s="30"/>
      <c r="B8" s="31" t="s">
        <v>9</v>
      </c>
      <c r="C8" s="31"/>
      <c r="D8" s="25"/>
      <c r="E8" s="28"/>
      <c r="F8" s="31" t="s">
        <v>10</v>
      </c>
      <c r="G8" s="28"/>
      <c r="H8" s="28"/>
      <c r="I8" s="29"/>
    </row>
    <row r="9" spans="1:18" ht="16.899999999999999" customHeight="1" x14ac:dyDescent="0.25">
      <c r="A9" s="30"/>
      <c r="B9" s="32" t="s">
        <v>11</v>
      </c>
      <c r="C9" s="32"/>
      <c r="D9" s="32"/>
      <c r="E9" s="28"/>
      <c r="F9" s="31" t="s">
        <v>12</v>
      </c>
      <c r="G9" s="28"/>
      <c r="H9" s="28"/>
      <c r="I9" s="33"/>
    </row>
    <row r="10" spans="1:18" ht="15.6" customHeight="1" x14ac:dyDescent="0.25">
      <c r="A10" s="34"/>
      <c r="B10" s="28"/>
      <c r="C10" s="28"/>
      <c r="D10" s="28"/>
      <c r="E10" s="28"/>
      <c r="F10" s="28" t="s">
        <v>13</v>
      </c>
      <c r="G10" s="28"/>
      <c r="H10" s="28"/>
      <c r="I10" s="29"/>
    </row>
    <row r="11" spans="1:18" ht="17.25" customHeight="1" x14ac:dyDescent="0.3">
      <c r="A11" s="35" t="s">
        <v>14</v>
      </c>
      <c r="B11" s="19"/>
      <c r="C11" s="36"/>
      <c r="D11" s="37">
        <f>'[1]Form-1_AnticipatedVsActual_BI'!$C$2</f>
        <v>45406</v>
      </c>
      <c r="E11" s="37"/>
      <c r="F11" s="19"/>
      <c r="G11" s="38"/>
      <c r="H11" s="39"/>
      <c r="I11" s="40"/>
      <c r="P11" s="41"/>
    </row>
    <row r="12" spans="1:18" ht="12" customHeight="1" x14ac:dyDescent="0.3">
      <c r="A12" s="42" t="s">
        <v>15</v>
      </c>
      <c r="B12" s="19"/>
      <c r="C12" s="19"/>
      <c r="D12" s="19"/>
      <c r="E12" s="19"/>
      <c r="F12" s="19"/>
      <c r="G12" s="19"/>
      <c r="H12" s="19"/>
      <c r="I12" s="40"/>
    </row>
    <row r="13" spans="1:18" ht="8.25" customHeight="1" x14ac:dyDescent="0.2">
      <c r="A13" s="42"/>
      <c r="B13" s="43" t="s">
        <v>16</v>
      </c>
      <c r="C13" s="44"/>
      <c r="D13" s="44"/>
      <c r="E13" s="44"/>
      <c r="F13" s="44"/>
      <c r="G13" s="44"/>
      <c r="H13" s="44"/>
      <c r="I13" s="45"/>
    </row>
    <row r="14" spans="1:18" ht="10.9" customHeight="1" x14ac:dyDescent="0.2">
      <c r="A14" s="42"/>
      <c r="B14" s="44"/>
      <c r="C14" s="44"/>
      <c r="D14" s="44"/>
      <c r="E14" s="44"/>
      <c r="F14" s="44"/>
      <c r="G14" s="44"/>
      <c r="H14" s="44"/>
      <c r="I14" s="45"/>
    </row>
    <row r="15" spans="1:18" ht="3.75" customHeight="1" thickBot="1" x14ac:dyDescent="0.25">
      <c r="A15" s="46"/>
      <c r="B15" s="47"/>
      <c r="C15" s="47"/>
      <c r="D15" s="47"/>
      <c r="E15" s="47"/>
      <c r="F15" s="48"/>
      <c r="G15" s="48"/>
      <c r="H15" s="48"/>
      <c r="I15" s="49"/>
    </row>
    <row r="16" spans="1:18" s="54" customFormat="1" ht="40.5" customHeight="1" x14ac:dyDescent="0.25">
      <c r="A16" s="50" t="s">
        <v>17</v>
      </c>
      <c r="B16" s="51" t="s">
        <v>18</v>
      </c>
      <c r="C16" s="51" t="s">
        <v>19</v>
      </c>
      <c r="D16" s="51" t="s">
        <v>20</v>
      </c>
      <c r="E16" s="52" t="s">
        <v>21</v>
      </c>
      <c r="F16" s="51" t="s">
        <v>22</v>
      </c>
      <c r="G16" s="51" t="s">
        <v>23</v>
      </c>
      <c r="H16" s="51" t="s">
        <v>24</v>
      </c>
      <c r="I16" s="53" t="s">
        <v>25</v>
      </c>
      <c r="R16" s="55">
        <f>'[1]Form-1_AnticipatedVsActual_BI'!G35+'[1]Form-1_AnticipatedVsActual_BI'!G41</f>
        <v>10.58</v>
      </c>
    </row>
    <row r="17" spans="1:14" s="54" customFormat="1" ht="45.75" customHeight="1" x14ac:dyDescent="0.2">
      <c r="A17" s="56"/>
      <c r="B17" s="57"/>
      <c r="C17" s="57"/>
      <c r="D17" s="58"/>
      <c r="E17" s="59"/>
      <c r="F17" s="57"/>
      <c r="G17" s="57"/>
      <c r="H17" s="57"/>
      <c r="I17" s="60" t="s">
        <v>26</v>
      </c>
    </row>
    <row r="18" spans="1:14" s="54" customFormat="1" ht="62.45" customHeight="1" thickBot="1" x14ac:dyDescent="0.25">
      <c r="A18" s="61"/>
      <c r="B18" s="62"/>
      <c r="C18" s="62"/>
      <c r="D18" s="63"/>
      <c r="E18" s="64"/>
      <c r="F18" s="62"/>
      <c r="G18" s="62"/>
      <c r="H18" s="62"/>
      <c r="I18" s="65"/>
    </row>
    <row r="19" spans="1:14" s="54" customFormat="1" ht="13.15" customHeight="1" thickBot="1" x14ac:dyDescent="0.25">
      <c r="A19" s="66">
        <v>1</v>
      </c>
      <c r="B19" s="67">
        <v>2</v>
      </c>
      <c r="C19" s="67">
        <v>3</v>
      </c>
      <c r="D19" s="67">
        <v>4</v>
      </c>
      <c r="E19" s="67">
        <v>5</v>
      </c>
      <c r="F19" s="67">
        <v>6</v>
      </c>
      <c r="G19" s="67">
        <v>7</v>
      </c>
      <c r="H19" s="67">
        <v>8</v>
      </c>
      <c r="I19" s="68" t="s">
        <v>27</v>
      </c>
    </row>
    <row r="20" spans="1:14" ht="17.25" customHeight="1" x14ac:dyDescent="0.25">
      <c r="A20" s="69">
        <v>1</v>
      </c>
      <c r="B20" s="70" t="s">
        <v>28</v>
      </c>
      <c r="C20" s="71">
        <v>126</v>
      </c>
      <c r="D20" s="71">
        <f>'[1]Form-1_AnticipatedVsActual_BI'!D10</f>
        <v>23.19</v>
      </c>
      <c r="E20" s="71">
        <f>'[1]Form-1_AnticipatedVsActual_BI'!E10</f>
        <v>23.19</v>
      </c>
      <c r="F20" s="72">
        <f>'[1]Form-1_AnticipatedVsActual_BI'!F10</f>
        <v>0</v>
      </c>
      <c r="G20" s="73">
        <f>'[1]Form-1_AnticipatedVsActual_BI'!G10</f>
        <v>0</v>
      </c>
      <c r="H20" s="74">
        <f>'[1]Form-1_AnticipatedVsActual_BI'!H10</f>
        <v>0</v>
      </c>
      <c r="I20" s="75" t="str">
        <f>IF('[1]Form-1_AnticipatedVsActual_BI'!J10="","",'[1]Form-1_AnticipatedVsActual_BI'!J10)</f>
        <v/>
      </c>
    </row>
    <row r="21" spans="1:14" ht="22.5" customHeight="1" x14ac:dyDescent="0.2">
      <c r="A21" s="76">
        <v>2</v>
      </c>
      <c r="B21" s="77" t="s">
        <v>29</v>
      </c>
      <c r="C21" s="78">
        <v>120</v>
      </c>
      <c r="D21" s="78">
        <f>'[1]Form-1_AnticipatedVsActual_BI'!D11</f>
        <v>19.2</v>
      </c>
      <c r="E21" s="78">
        <f>'[1]Form-1_AnticipatedVsActual_BI'!E11</f>
        <v>19.2</v>
      </c>
      <c r="F21" s="79">
        <f>'[1]Form-1_AnticipatedVsActual_BI'!F11</f>
        <v>10.84</v>
      </c>
      <c r="G21" s="80">
        <f>'[1]Form-1_AnticipatedVsActual_BI'!G11</f>
        <v>10.15</v>
      </c>
      <c r="H21" s="81">
        <f>'[1]Form-1_AnticipatedVsActual_BI'!H11</f>
        <v>79</v>
      </c>
      <c r="I21" s="82" t="str">
        <f>IF('[1]Form-1_AnticipatedVsActual_BI'!J11="","",'[1]Form-1_AnticipatedVsActual_BI'!J11)</f>
        <v/>
      </c>
      <c r="J21" s="83"/>
    </row>
    <row r="22" spans="1:14" ht="17.25" customHeight="1" x14ac:dyDescent="0.25">
      <c r="A22" s="76">
        <v>3</v>
      </c>
      <c r="B22" s="77" t="s">
        <v>30</v>
      </c>
      <c r="C22" s="78">
        <v>66</v>
      </c>
      <c r="D22" s="78">
        <f>'[1]Form-1_AnticipatedVsActual_BI'!D12</f>
        <v>9.8000000000000007</v>
      </c>
      <c r="E22" s="78">
        <f>'[1]Form-1_AnticipatedVsActual_BI'!E12</f>
        <v>9.8000000000000007</v>
      </c>
      <c r="F22" s="79">
        <f>'[1]Form-1_AnticipatedVsActual_BI'!F12</f>
        <v>11.9475</v>
      </c>
      <c r="G22" s="84">
        <f>'[1]Form-1_AnticipatedVsActual_BI'!G12</f>
        <v>12.65</v>
      </c>
      <c r="H22" s="81">
        <f>'[1]Form-1_AnticipatedVsActual_BI'!H12</f>
        <v>66</v>
      </c>
      <c r="I22" s="75" t="str">
        <f>IF('[1]Form-1_AnticipatedVsActual_BI'!J12="","",'[1]Form-1_AnticipatedVsActual_BI'!J12)</f>
        <v/>
      </c>
      <c r="J22" s="85"/>
    </row>
    <row r="23" spans="1:14" ht="17.25" customHeight="1" x14ac:dyDescent="0.25">
      <c r="A23" s="76">
        <v>4</v>
      </c>
      <c r="B23" s="77" t="s">
        <v>31</v>
      </c>
      <c r="C23" s="78">
        <v>60</v>
      </c>
      <c r="D23" s="78">
        <f>'[1]Form-1_AnticipatedVsActual_BI'!D13</f>
        <v>0.73</v>
      </c>
      <c r="E23" s="78">
        <f>'[1]Form-1_AnticipatedVsActual_BI'!E13</f>
        <v>0.73</v>
      </c>
      <c r="F23" s="79">
        <f>'[1]Form-1_AnticipatedVsActual_BI'!F13</f>
        <v>2.2050000000000001</v>
      </c>
      <c r="G23" s="84">
        <f>'[1]Form-1_AnticipatedVsActual_BI'!G13</f>
        <v>2.04</v>
      </c>
      <c r="H23" s="86">
        <f>'[1]Form-1_AnticipatedVsActual_BI'!H13</f>
        <v>30</v>
      </c>
      <c r="I23" s="75" t="str">
        <f>IF('[1]Form-1_AnticipatedVsActual_BI'!J13="","",'[1]Form-1_AnticipatedVsActual_BI'!J13)</f>
        <v/>
      </c>
      <c r="J23" s="87"/>
    </row>
    <row r="24" spans="1:14" ht="17.25" customHeight="1" x14ac:dyDescent="0.25">
      <c r="A24" s="76">
        <v>5</v>
      </c>
      <c r="B24" s="77" t="s">
        <v>32</v>
      </c>
      <c r="C24" s="78">
        <v>22.5</v>
      </c>
      <c r="D24" s="78">
        <f>'[1]Form-1_AnticipatedVsActual_BI'!D14</f>
        <v>4.07</v>
      </c>
      <c r="E24" s="78">
        <f>'[1]Form-1_AnticipatedVsActual_BI'!E14</f>
        <v>4.07</v>
      </c>
      <c r="F24" s="79">
        <f>'[1]Form-1_AnticipatedVsActual_BI'!F14</f>
        <v>1.2725</v>
      </c>
      <c r="G24" s="84">
        <f>'[1]Form-1_AnticipatedVsActual_BI'!G14</f>
        <v>2.2799999999999998</v>
      </c>
      <c r="H24" s="88">
        <f>'[1]Form-1_AnticipatedVsActual_BI'!H14</f>
        <v>11.6</v>
      </c>
      <c r="I24" s="75" t="str">
        <f>IF('[1]Form-1_AnticipatedVsActual_BI'!J14="","",'[1]Form-1_AnticipatedVsActual_BI'!J14)</f>
        <v/>
      </c>
      <c r="J24" s="87"/>
    </row>
    <row r="25" spans="1:14" ht="17.25" customHeight="1" x14ac:dyDescent="0.25">
      <c r="A25" s="76">
        <v>6</v>
      </c>
      <c r="B25" s="77" t="s">
        <v>33</v>
      </c>
      <c r="C25" s="78">
        <v>16.95</v>
      </c>
      <c r="D25" s="78">
        <f>'[1]Form-1_AnticipatedVsActual_BI'!D15</f>
        <v>1.71</v>
      </c>
      <c r="E25" s="78">
        <f>'[1]Form-1_AnticipatedVsActual_BI'!E15</f>
        <v>1.71</v>
      </c>
      <c r="F25" s="79">
        <f>'[1]Form-1_AnticipatedVsActual_BI'!F15</f>
        <v>1.2</v>
      </c>
      <c r="G25" s="89">
        <f>'[1]Form-1_AnticipatedVsActual_BI'!G15</f>
        <v>1.41</v>
      </c>
      <c r="H25" s="86">
        <f>'[1]Form-1_AnticipatedVsActual_BI'!H15</f>
        <v>10</v>
      </c>
      <c r="I25" s="75" t="str">
        <f>IF('[1]Form-1_AnticipatedVsActual_BI'!J15="","",'[1]Form-1_AnticipatedVsActual_BI'!J15)</f>
        <v/>
      </c>
      <c r="J25" s="87"/>
    </row>
    <row r="26" spans="1:14" ht="17.25" customHeight="1" x14ac:dyDescent="0.25">
      <c r="A26" s="76">
        <v>7</v>
      </c>
      <c r="B26" s="77" t="s">
        <v>34</v>
      </c>
      <c r="C26" s="78">
        <v>12</v>
      </c>
      <c r="D26" s="78">
        <f>'[1]Form-1_AnticipatedVsActual_BI'!D16</f>
        <v>0.87</v>
      </c>
      <c r="E26" s="78">
        <f>'[1]Form-1_AnticipatedVsActual_BI'!E16</f>
        <v>0.87</v>
      </c>
      <c r="F26" s="79">
        <f>'[1]Form-1_AnticipatedVsActual_BI'!F16</f>
        <v>2.4</v>
      </c>
      <c r="G26" s="84">
        <f>'[1]Form-1_AnticipatedVsActual_BI'!G16</f>
        <v>0.97</v>
      </c>
      <c r="H26" s="88">
        <f>'[1]Form-1_AnticipatedVsActual_BI'!H16</f>
        <v>5.0999999999999996</v>
      </c>
      <c r="I26" s="75" t="str">
        <f>IF('[1]Form-1_AnticipatedVsActual_BI'!J16="","",'[1]Form-1_AnticipatedVsActual_BI'!J16)</f>
        <v/>
      </c>
      <c r="J26" s="87"/>
    </row>
    <row r="27" spans="1:14" ht="17.25" customHeight="1" x14ac:dyDescent="0.25">
      <c r="A27" s="76">
        <v>8</v>
      </c>
      <c r="B27" s="77" t="s">
        <v>35</v>
      </c>
      <c r="C27" s="78">
        <v>12</v>
      </c>
      <c r="D27" s="78">
        <f>'[1]Form-1_AnticipatedVsActual_BI'!D17</f>
        <v>0.81</v>
      </c>
      <c r="E27" s="78">
        <f>'[1]Form-1_AnticipatedVsActual_BI'!E17</f>
        <v>0.81</v>
      </c>
      <c r="F27" s="79">
        <f>'[1]Form-1_AnticipatedVsActual_BI'!F17</f>
        <v>2.4</v>
      </c>
      <c r="G27" s="84">
        <f>'[1]Form-1_AnticipatedVsActual_BI'!G17</f>
        <v>1.77</v>
      </c>
      <c r="H27" s="88">
        <f>'[1]Form-1_AnticipatedVsActual_BI'!H17</f>
        <v>9</v>
      </c>
      <c r="I27" s="75" t="str">
        <f>IF('[1]Form-1_AnticipatedVsActual_BI'!J17="","",'[1]Form-1_AnticipatedVsActual_BI'!J17)</f>
        <v/>
      </c>
      <c r="J27" s="87"/>
    </row>
    <row r="28" spans="1:14" ht="17.25" customHeight="1" x14ac:dyDescent="0.25">
      <c r="A28" s="76">
        <v>9</v>
      </c>
      <c r="B28" s="77" t="s">
        <v>36</v>
      </c>
      <c r="C28" s="78">
        <v>10.5</v>
      </c>
      <c r="D28" s="78">
        <f>'[1]Form-1_AnticipatedVsActual_BI'!D18</f>
        <v>0.92</v>
      </c>
      <c r="E28" s="78">
        <f>'[1]Form-1_AnticipatedVsActual_BI'!E18</f>
        <v>0.92</v>
      </c>
      <c r="F28" s="79">
        <f>'[1]Form-1_AnticipatedVsActual_BI'!F18</f>
        <v>1.2</v>
      </c>
      <c r="G28" s="89">
        <f>'[1]Form-1_AnticipatedVsActual_BI'!G18</f>
        <v>1.27</v>
      </c>
      <c r="H28" s="88">
        <f>'[1]Form-1_AnticipatedVsActual_BI'!H18</f>
        <v>5.52</v>
      </c>
      <c r="I28" s="75" t="str">
        <f>IF('[1]Form-1_AnticipatedVsActual_BI'!J18="","",'[1]Form-1_AnticipatedVsActual_BI'!J18)</f>
        <v/>
      </c>
      <c r="J28" s="87"/>
    </row>
    <row r="29" spans="1:14" ht="17.25" customHeight="1" x14ac:dyDescent="0.25">
      <c r="A29" s="76">
        <v>10</v>
      </c>
      <c r="B29" s="77" t="s">
        <v>37</v>
      </c>
      <c r="C29" s="78">
        <v>10</v>
      </c>
      <c r="D29" s="78">
        <f>'[1]Form-1_AnticipatedVsActual_BI'!D19</f>
        <v>2.41</v>
      </c>
      <c r="E29" s="78">
        <f>'[1]Form-1_AnticipatedVsActual_BI'!E19</f>
        <v>2.41</v>
      </c>
      <c r="F29" s="79">
        <f>'[1]Form-1_AnticipatedVsActual_BI'!F19</f>
        <v>1.7450000000000001</v>
      </c>
      <c r="G29" s="84">
        <f>'[1]Form-1_AnticipatedVsActual_BI'!G19</f>
        <v>0.84</v>
      </c>
      <c r="H29" s="88">
        <f>'[1]Form-1_AnticipatedVsActual_BI'!H19</f>
        <v>5.01</v>
      </c>
      <c r="I29" s="75"/>
      <c r="J29" s="87"/>
    </row>
    <row r="30" spans="1:14" ht="17.25" customHeight="1" x14ac:dyDescent="0.25">
      <c r="A30" s="76">
        <v>11</v>
      </c>
      <c r="B30" s="90" t="s">
        <v>38</v>
      </c>
      <c r="C30" s="78">
        <v>6</v>
      </c>
      <c r="D30" s="78">
        <f>'[1]Form-1_AnticipatedVsActual_BI'!D20</f>
        <v>0.73</v>
      </c>
      <c r="E30" s="78">
        <f>'[1]Form-1_AnticipatedVsActual_BI'!E20</f>
        <v>0.73</v>
      </c>
      <c r="F30" s="79">
        <f>'[1]Form-1_AnticipatedVsActual_BI'!F20</f>
        <v>0.12</v>
      </c>
      <c r="G30" s="84">
        <f>'[1]Form-1_AnticipatedVsActual_BI'!G20</f>
        <v>0.72</v>
      </c>
      <c r="H30" s="81">
        <f>'[1]Form-1_AnticipatedVsActual_BI'!H20</f>
        <v>3</v>
      </c>
      <c r="I30" s="75" t="str">
        <f>IF('[1]Form-1_AnticipatedVsActual_BI'!J20="","",'[1]Form-1_AnticipatedVsActual_BI'!J20)</f>
        <v/>
      </c>
      <c r="J30" s="87"/>
    </row>
    <row r="31" spans="1:14" ht="22.5" customHeight="1" x14ac:dyDescent="0.25">
      <c r="A31" s="76">
        <v>12</v>
      </c>
      <c r="B31" s="77" t="s">
        <v>39</v>
      </c>
      <c r="C31" s="78">
        <v>4.5</v>
      </c>
      <c r="D31" s="78">
        <f>'[1]Form-1_AnticipatedVsActual_BI'!D21</f>
        <v>0.25</v>
      </c>
      <c r="E31" s="78">
        <f>'[1]Form-1_AnticipatedVsActual_BI'!E21</f>
        <v>0.25</v>
      </c>
      <c r="F31" s="79">
        <f>'[1]Form-1_AnticipatedVsActual_BI'!F21</f>
        <v>0.12</v>
      </c>
      <c r="G31" s="84">
        <f>'[1]Form-1_AnticipatedVsActual_BI'!G21</f>
        <v>0</v>
      </c>
      <c r="H31" s="81">
        <f>'[1]Form-1_AnticipatedVsActual_BI'!H21</f>
        <v>0</v>
      </c>
      <c r="I31" s="82" t="str">
        <f>IF('[1]Form-1_AnticipatedVsActual_BI'!J21="","",'[1]Form-1_AnticipatedVsActual_BI'!J21)</f>
        <v/>
      </c>
      <c r="J31" s="87"/>
      <c r="K31" s="91" t="s">
        <v>40</v>
      </c>
      <c r="L31" s="91"/>
      <c r="N31" s="92">
        <f>F33+F43+F41+F44</f>
        <v>89.860472950000002</v>
      </c>
    </row>
    <row r="32" spans="1:14" ht="17.25" customHeight="1" x14ac:dyDescent="0.25">
      <c r="A32" s="76">
        <v>13</v>
      </c>
      <c r="B32" s="93" t="s">
        <v>41</v>
      </c>
      <c r="C32" s="78">
        <v>30.95</v>
      </c>
      <c r="D32" s="78">
        <f>'[1]Form-1_AnticipatedVsActual_BI'!D22</f>
        <v>1.53</v>
      </c>
      <c r="E32" s="78">
        <f>'[1]Form-1_AnticipatedVsActual_BI'!E22</f>
        <v>1.52</v>
      </c>
      <c r="F32" s="79">
        <f>'[1]Form-1_AnticipatedVsActual_BI'!F22</f>
        <v>0.25440000000000035</v>
      </c>
      <c r="G32" s="84">
        <f>'[1]Form-1_AnticipatedVsActual_BI'!G22</f>
        <v>2.12</v>
      </c>
      <c r="H32" s="81"/>
      <c r="I32" s="75" t="str">
        <f>IF('[1]Form-1_AnticipatedVsActual_BI'!J22="","",'[1]Form-1_AnticipatedVsActual_BI'!J22)</f>
        <v/>
      </c>
      <c r="J32" s="87"/>
      <c r="K32" s="91"/>
      <c r="L32" s="91"/>
    </row>
    <row r="33" spans="1:14" ht="15" customHeight="1" x14ac:dyDescent="0.25">
      <c r="A33" s="76" t="s">
        <v>42</v>
      </c>
      <c r="B33" s="93" t="s">
        <v>43</v>
      </c>
      <c r="C33" s="94">
        <f t="shared" ref="C33:H33" si="0">SUM(C20:C32)</f>
        <v>497.4</v>
      </c>
      <c r="D33" s="94">
        <f t="shared" si="0"/>
        <v>66.22</v>
      </c>
      <c r="E33" s="94">
        <f t="shared" si="0"/>
        <v>66.209999999999994</v>
      </c>
      <c r="F33" s="94">
        <f t="shared" si="0"/>
        <v>35.704399999999993</v>
      </c>
      <c r="G33" s="94">
        <f t="shared" si="0"/>
        <v>36.22</v>
      </c>
      <c r="H33" s="94">
        <f t="shared" si="0"/>
        <v>224.23</v>
      </c>
      <c r="I33" s="95"/>
      <c r="J33" s="87"/>
      <c r="K33" s="91" t="s">
        <v>44</v>
      </c>
      <c r="L33" s="91"/>
      <c r="N33" s="92">
        <f>G33+G43+I44+G41-AA61-AB61-0.6</f>
        <v>107.47878499999999</v>
      </c>
    </row>
    <row r="34" spans="1:14" ht="15" customHeight="1" x14ac:dyDescent="0.2">
      <c r="A34" s="69" t="s">
        <v>45</v>
      </c>
      <c r="B34" s="96" t="s">
        <v>46</v>
      </c>
      <c r="C34" s="97"/>
      <c r="D34" s="98"/>
      <c r="E34" s="98"/>
      <c r="F34" s="99"/>
      <c r="G34" s="100" t="s">
        <v>47</v>
      </c>
      <c r="H34" s="99"/>
      <c r="I34" s="101" t="s">
        <v>48</v>
      </c>
      <c r="J34" s="87"/>
      <c r="N34" s="92"/>
    </row>
    <row r="35" spans="1:14" ht="12.6" customHeight="1" x14ac:dyDescent="0.3">
      <c r="A35" s="102" t="s">
        <v>49</v>
      </c>
      <c r="B35" s="96" t="s">
        <v>50</v>
      </c>
      <c r="C35" s="103"/>
      <c r="D35" s="104"/>
      <c r="E35" s="104"/>
      <c r="F35" s="105"/>
      <c r="G35" s="106"/>
      <c r="H35" s="107"/>
      <c r="I35" s="108"/>
      <c r="J35" s="87"/>
    </row>
    <row r="36" spans="1:14" ht="17.25" customHeight="1" x14ac:dyDescent="0.2">
      <c r="A36" s="109"/>
      <c r="B36" s="110" t="s">
        <v>51</v>
      </c>
      <c r="C36" s="111">
        <v>300</v>
      </c>
      <c r="D36" s="71">
        <f>12*0.88</f>
        <v>10.56</v>
      </c>
      <c r="E36" s="112">
        <f>9.42*0.88</f>
        <v>8.2896000000000001</v>
      </c>
      <c r="F36" s="73">
        <f>'[1]Form-1_AnticipatedVsActual_BI'!F28*0.88</f>
        <v>10.384</v>
      </c>
      <c r="G36" s="113">
        <f>I36*0.88</f>
        <v>10.5952</v>
      </c>
      <c r="H36" s="114">
        <f>'[1]Form-1_AnticipatedVsActual_BI'!$H$28</f>
        <v>300</v>
      </c>
      <c r="I36" s="115">
        <f>'[1]Form-1_AnticipatedVsActual_BI'!$G$28</f>
        <v>12.04</v>
      </c>
      <c r="J36" s="87"/>
      <c r="K36" s="92"/>
    </row>
    <row r="37" spans="1:14" ht="31.5" x14ac:dyDescent="0.2">
      <c r="A37" s="116"/>
      <c r="B37" s="110" t="s">
        <v>52</v>
      </c>
      <c r="C37" s="117"/>
      <c r="D37" s="78">
        <f>12*0.12</f>
        <v>1.44</v>
      </c>
      <c r="E37" s="118">
        <f>9.42*0.12</f>
        <v>1.1303999999999998</v>
      </c>
      <c r="F37" s="80">
        <f>'[1]Form-1_AnticipatedVsActual_BI'!F28*0.12</f>
        <v>1.4159999999999999</v>
      </c>
      <c r="G37" s="80">
        <f>I36*0.12</f>
        <v>1.4447999999999999</v>
      </c>
      <c r="H37" s="119"/>
      <c r="I37" s="120" t="s">
        <v>53</v>
      </c>
      <c r="J37" s="87"/>
    </row>
    <row r="38" spans="1:14" ht="17.45" customHeight="1" x14ac:dyDescent="0.2">
      <c r="A38" s="121" t="s">
        <v>54</v>
      </c>
      <c r="B38" s="122" t="s">
        <v>55</v>
      </c>
      <c r="C38" s="123">
        <v>86</v>
      </c>
      <c r="D38" s="123">
        <f>2.23*0.2</f>
        <v>0.44600000000000001</v>
      </c>
      <c r="E38" s="124">
        <f>3.23*0.2</f>
        <v>0.64600000000000002</v>
      </c>
      <c r="F38" s="125">
        <f>'[1]Form-1_AnticipatedVsActual_BI'!F29*0.2</f>
        <v>0.90881999999999952</v>
      </c>
      <c r="G38" s="125">
        <f>I38*0.2</f>
        <v>1.1320000000000001</v>
      </c>
      <c r="H38" s="125">
        <f>'[1]Form-1_AnticipatedVsActual_BI'!$H$29</f>
        <v>44</v>
      </c>
      <c r="I38" s="126">
        <f>'[1]Form-1_AnticipatedVsActual_BI'!$G$29</f>
        <v>5.66</v>
      </c>
    </row>
    <row r="39" spans="1:14" ht="21.75" customHeight="1" x14ac:dyDescent="0.2">
      <c r="A39" s="127"/>
      <c r="B39" s="128"/>
      <c r="C39" s="117"/>
      <c r="D39" s="117"/>
      <c r="E39" s="129"/>
      <c r="F39" s="130"/>
      <c r="G39" s="130"/>
      <c r="H39" s="131"/>
      <c r="I39" s="132" t="s">
        <v>56</v>
      </c>
    </row>
    <row r="40" spans="1:14" ht="20.25" hidden="1" customHeight="1" x14ac:dyDescent="0.2">
      <c r="A40" s="76"/>
      <c r="B40" s="110"/>
      <c r="C40" s="78"/>
      <c r="D40" s="78"/>
      <c r="E40" s="78"/>
      <c r="F40" s="133">
        <f>'[1]Form-1_AnticipatedVsActual_BI'!F54*0.2</f>
        <v>28.40069999999999</v>
      </c>
      <c r="G40" s="84"/>
      <c r="H40" s="81"/>
      <c r="I40" s="134"/>
    </row>
    <row r="41" spans="1:14" ht="17.45" customHeight="1" x14ac:dyDescent="0.2">
      <c r="A41" s="76" t="s">
        <v>57</v>
      </c>
      <c r="B41" s="110" t="str">
        <f>'[1]Form-1_AnticipatedVsActual_BI'!$B$30</f>
        <v>KASHANG (3x65 MW)</v>
      </c>
      <c r="C41" s="78">
        <f>65*3</f>
        <v>195</v>
      </c>
      <c r="D41" s="78">
        <f>'[1]Form-1_AnticipatedVsActual_BI'!D30</f>
        <v>0</v>
      </c>
      <c r="E41" s="135">
        <f>'[1]Form-1_AnticipatedVsActual_BI'!E30</f>
        <v>0</v>
      </c>
      <c r="F41" s="73">
        <f>'[1]Form-1_AnticipatedVsActual_BI'!F30</f>
        <v>3.15</v>
      </c>
      <c r="G41" s="89">
        <f>'[1]Form-1_AnticipatedVsActual_BI'!G30*(0.9925)</f>
        <v>3.2653250000000003</v>
      </c>
      <c r="H41" s="86">
        <f>'[1]Form-1_AnticipatedVsActual_BI'!H30</f>
        <v>70</v>
      </c>
      <c r="I41" s="134"/>
    </row>
    <row r="42" spans="1:14" ht="17.45" customHeight="1" x14ac:dyDescent="0.2">
      <c r="A42" s="76" t="s">
        <v>58</v>
      </c>
      <c r="B42" s="110" t="s">
        <v>59</v>
      </c>
      <c r="C42" s="78">
        <f>37*3</f>
        <v>111</v>
      </c>
      <c r="D42" s="78"/>
      <c r="E42" s="135">
        <f>'[1]Form-1_AnticipatedVsActual_BI'!E31</f>
        <v>0</v>
      </c>
      <c r="F42" s="73">
        <f>'[1]Form-1_AnticipatedVsActual_BI'!F31</f>
        <v>5.2170000000000005</v>
      </c>
      <c r="G42" s="89">
        <f>'[1]Form-1_AnticipatedVsActual_BI'!G31*(0.9925)</f>
        <v>5.2007000000000003</v>
      </c>
      <c r="H42" s="86">
        <f>'[1]Form-1_AnticipatedVsActual_BI'!H31</f>
        <v>81.400000000000006</v>
      </c>
      <c r="I42" s="134"/>
    </row>
    <row r="43" spans="1:14" ht="20.45" customHeight="1" x14ac:dyDescent="0.2">
      <c r="A43" s="76" t="s">
        <v>60</v>
      </c>
      <c r="B43" s="110" t="s">
        <v>61</v>
      </c>
      <c r="C43" s="78">
        <v>77</v>
      </c>
      <c r="D43" s="78"/>
      <c r="E43" s="135"/>
      <c r="F43" s="136">
        <f>'[1]Form-1_AnticipatedVsActual_BI'!F32+'[1]Form-1_AnticipatedVsActual_BI'!F24+'[1]Form-1_AnticipatedVsActual_BI'!F25</f>
        <v>45.22</v>
      </c>
      <c r="G43" s="136">
        <f>'[1]Form-1_AnticipatedVsActual_BI'!G24+'[1]Form-1_AnticipatedVsActual_BI'!G25+'[1]Form-1_AnticipatedVsActual_BI'!G32</f>
        <v>38.299999999999997</v>
      </c>
      <c r="H43" s="81"/>
      <c r="I43" s="137"/>
      <c r="J43" s="87"/>
    </row>
    <row r="44" spans="1:14" ht="46.9" customHeight="1" x14ac:dyDescent="0.2">
      <c r="A44" s="138" t="s">
        <v>62</v>
      </c>
      <c r="B44" s="96" t="s">
        <v>63</v>
      </c>
      <c r="C44" s="139" t="s">
        <v>64</v>
      </c>
      <c r="D44" s="139" t="s">
        <v>64</v>
      </c>
      <c r="E44" s="139" t="s">
        <v>64</v>
      </c>
      <c r="F44" s="140">
        <f>'[1]Form-1_AnticipatedVsActual_BI'!F33+'[1]Form-1_AnticipatedVsActual_BI'!F34*0.13+'[1]Form-1_AnticipatedVsActual_BI'!F35*0.1392+'[1]Form-1_AnticipatedVsActual_BI'!F36*0.1429+'[1]Form-1_AnticipatedVsActual_BI'!F37*0.1702+'[1]Form-1_AnticipatedVsActual_BI'!F38*0.1333</f>
        <v>5.7860729499999977</v>
      </c>
      <c r="G44" s="140">
        <f>[1]IntraState_Generator!T17+[1]IntraState_Generator!T22+[1]IntraState_Generator!T28+[1]IntraState_Generator!T34+[1]IntraState_Generator!T40+[1]IntraState_Generator!T46+[1]IntraState_Generator!T52+[1]IntraState_Generator!T58+[1]IntraState_Generator!T64+[1]IntraState_Generator!T12+[1]IntraState_Generator!T87</f>
        <v>3.0008759999999999</v>
      </c>
      <c r="H44" s="81">
        <v>55</v>
      </c>
      <c r="I44" s="141">
        <f>SUM('[1]Form-1_AnticipatedVsActual_BI'!G33:G52) -SUM('[1]Form-1_AnticipatedVsActual_BI'!G42)</f>
        <v>54.263460000000002</v>
      </c>
      <c r="J44" s="87"/>
      <c r="L44" s="142"/>
      <c r="M44" s="143" t="s">
        <v>65</v>
      </c>
    </row>
    <row r="45" spans="1:14" ht="17.25" customHeight="1" x14ac:dyDescent="0.2">
      <c r="A45" s="144"/>
      <c r="B45" s="145" t="s">
        <v>66</v>
      </c>
      <c r="C45" s="146"/>
      <c r="D45" s="146"/>
      <c r="E45" s="147"/>
      <c r="F45" s="146"/>
      <c r="G45" s="146"/>
      <c r="H45" s="148"/>
      <c r="I45" s="149" t="s">
        <v>67</v>
      </c>
      <c r="J45" s="150"/>
      <c r="M45" s="92">
        <f>487.4-C33</f>
        <v>-10</v>
      </c>
    </row>
    <row r="46" spans="1:14" ht="17.25" customHeight="1" x14ac:dyDescent="0.2">
      <c r="A46" s="151">
        <v>1</v>
      </c>
      <c r="B46" s="152" t="s">
        <v>68</v>
      </c>
      <c r="C46" s="153"/>
      <c r="D46" s="81">
        <f>$G$33</f>
        <v>36.22</v>
      </c>
      <c r="E46" s="154">
        <v>21</v>
      </c>
      <c r="F46" s="155" t="s">
        <v>69</v>
      </c>
      <c r="G46" s="156"/>
      <c r="H46" s="157" t="s">
        <v>70</v>
      </c>
      <c r="I46" s="158" t="s">
        <v>71</v>
      </c>
      <c r="J46" s="87"/>
      <c r="K46" s="159"/>
      <c r="M46" s="11">
        <f>15.15+21.8</f>
        <v>36.950000000000003</v>
      </c>
    </row>
    <row r="47" spans="1:14" ht="20.25" customHeight="1" x14ac:dyDescent="0.2">
      <c r="A47" s="151">
        <v>2</v>
      </c>
      <c r="B47" s="160" t="s">
        <v>72</v>
      </c>
      <c r="C47" s="160"/>
      <c r="D47" s="88">
        <f>$I$36</f>
        <v>12.04</v>
      </c>
      <c r="E47" s="161"/>
      <c r="F47" s="162" t="s">
        <v>73</v>
      </c>
      <c r="G47" s="163" t="s">
        <v>74</v>
      </c>
      <c r="H47" s="164">
        <f>ABS('[1]Report_Daily Hrly Load Sheet '!AB116/100)</f>
        <v>0</v>
      </c>
      <c r="I47" s="41">
        <f>ABS('[1]Report_Daily Hrly Load Sheet '!AC116/100)</f>
        <v>0</v>
      </c>
      <c r="J47" s="150"/>
    </row>
    <row r="48" spans="1:14" ht="20.25" customHeight="1" x14ac:dyDescent="0.2">
      <c r="A48" s="151">
        <v>3</v>
      </c>
      <c r="B48" s="165" t="s">
        <v>75</v>
      </c>
      <c r="C48" s="166"/>
      <c r="D48" s="88">
        <f>'[1]Form-1_AnticipatedVsActual_BI'!G30*0.87+'[1]Form-1_AnticipatedVsActual_BI'!G31*0.87</f>
        <v>7.4210999999999991</v>
      </c>
      <c r="E48" s="167"/>
      <c r="F48" s="162"/>
      <c r="G48" s="168"/>
      <c r="H48" s="169"/>
      <c r="I48" s="170"/>
      <c r="J48" s="150"/>
    </row>
    <row r="49" spans="1:28" ht="24.6" customHeight="1" x14ac:dyDescent="0.2">
      <c r="A49" s="151">
        <v>4</v>
      </c>
      <c r="B49" s="165" t="s">
        <v>76</v>
      </c>
      <c r="C49" s="166"/>
      <c r="D49" s="88">
        <f>('[1]Form-1_AnticipatedVsActual_BI'!$Q$6)</f>
        <v>1.51</v>
      </c>
      <c r="E49" s="167"/>
      <c r="F49" s="162"/>
      <c r="G49" s="168" t="s">
        <v>77</v>
      </c>
      <c r="H49" s="169">
        <f>ABS('[1]Report_Daily Hrly Load Sheet '!AB117/100)</f>
        <v>3.7749999999999999</v>
      </c>
      <c r="I49" s="170">
        <f>ABS('[1]Report_Daily Hrly Load Sheet '!AC117/100)</f>
        <v>3.7749999999999999</v>
      </c>
      <c r="J49" s="87"/>
    </row>
    <row r="50" spans="1:28" ht="15" customHeight="1" x14ac:dyDescent="0.2">
      <c r="A50" s="151">
        <v>5</v>
      </c>
      <c r="B50" s="152" t="s">
        <v>78</v>
      </c>
      <c r="C50" s="153"/>
      <c r="D50" s="88">
        <f>$G$43</f>
        <v>38.299999999999997</v>
      </c>
      <c r="E50" s="167"/>
      <c r="F50" s="171"/>
      <c r="G50" s="172" t="str">
        <f>"IEX DAM Rate Rs. "&amp;'[1]Form-6_ImportExport'!AF23&amp; " &amp; TAM Rate "&amp;'[1]Form-6_ImportExport'!AF24 &amp;"/kwh"</f>
        <v>IEX DAM Rate Rs. 0 &amp; TAM Rate /kwh</v>
      </c>
      <c r="H50" s="173"/>
      <c r="I50" s="174"/>
      <c r="J50" s="87"/>
    </row>
    <row r="51" spans="1:28" ht="15" customHeight="1" x14ac:dyDescent="0.2">
      <c r="A51" s="151">
        <v>6</v>
      </c>
      <c r="B51" s="175" t="str">
        <f>'[1]Central Sector Final Rev'!$AQ$8</f>
        <v>SINGRAULI_SOLAR</v>
      </c>
      <c r="C51" s="166"/>
      <c r="D51" s="88">
        <f>'[1]Central Sector Final Rev'!$AQ$105</f>
        <v>0.80505000000000004</v>
      </c>
      <c r="E51" s="167"/>
      <c r="F51" s="176"/>
      <c r="G51" s="128" t="s">
        <v>79</v>
      </c>
      <c r="H51" s="128"/>
      <c r="I51" s="177">
        <f>I47+I49</f>
        <v>3.7749999999999999</v>
      </c>
      <c r="J51" s="87"/>
    </row>
    <row r="52" spans="1:28" ht="18" customHeight="1" x14ac:dyDescent="0.2">
      <c r="A52" s="151">
        <v>7</v>
      </c>
      <c r="B52" s="175" t="str">
        <f>'[1]Report_Daily Hrly Load Sheet '!$B$112</f>
        <v>SECI-Solar (LTA PURCHASE)</v>
      </c>
      <c r="C52" s="166"/>
      <c r="D52" s="88">
        <f>'[1]Report_Daily Hrly Load Sheet '!$AC$112/100</f>
        <v>1.2532249999999998</v>
      </c>
      <c r="E52" s="178"/>
      <c r="F52" s="152" t="str">
        <f>IF(I52=0,"",'[1]Report_Daily Hrly Load Sheet '!B119)</f>
        <v/>
      </c>
      <c r="G52" s="153"/>
      <c r="H52" s="78">
        <f>'[1]Report_Daily Hrly Load Sheet '!AB119/100</f>
        <v>0</v>
      </c>
      <c r="I52" s="41">
        <f>'[1]Report_Daily Hrly Load Sheet '!AC119/100</f>
        <v>0</v>
      </c>
      <c r="J52" s="87"/>
    </row>
    <row r="53" spans="1:28" ht="30.75" customHeight="1" x14ac:dyDescent="0.2">
      <c r="A53" s="151">
        <v>8</v>
      </c>
      <c r="B53" s="152" t="s">
        <v>80</v>
      </c>
      <c r="C53" s="153"/>
      <c r="D53" s="88">
        <f>'[1]Central Sector Final Rev'!$BD$105</f>
        <v>152.93947301749998</v>
      </c>
      <c r="E53" s="178"/>
      <c r="F53" s="152"/>
      <c r="G53" s="153"/>
      <c r="H53" s="78"/>
      <c r="I53" s="41"/>
      <c r="J53" s="87"/>
    </row>
    <row r="54" spans="1:28" ht="76.150000000000006" customHeight="1" x14ac:dyDescent="0.2">
      <c r="A54" s="151">
        <v>9</v>
      </c>
      <c r="B54" s="152" t="s">
        <v>81</v>
      </c>
      <c r="C54" s="153"/>
      <c r="D54" s="88">
        <f>[1]IntraState_Generator!T12+[1]IntraState_Generator!T17+[1]IntraState_Generator!T22+[1]IntraState_Generator!T28+[1]IntraState_Generator!T34+[1]IntraState_Generator!T40+[1]IntraState_Generator!T46+[1]IntraState_Generator!T52+[1]IntraState_Generator!T58+[1]IntraState_Generator!T64</f>
        <v>2.8140760000000009</v>
      </c>
      <c r="E54" s="178"/>
      <c r="F54" s="152" t="str">
        <f>'[1]Report_Daily Hrly Load Sheet '!B120</f>
        <v>BRPL THROUGH MPL</v>
      </c>
      <c r="G54" s="153"/>
      <c r="H54" s="78">
        <f>'[1]Report_Daily Hrly Load Sheet '!AB120/100</f>
        <v>0</v>
      </c>
      <c r="I54" s="41">
        <f>'[1]Report_Daily Hrly Load Sheet '!AC120/100</f>
        <v>0</v>
      </c>
      <c r="J54" s="87"/>
    </row>
    <row r="55" spans="1:28" ht="19.149999999999999" customHeight="1" x14ac:dyDescent="0.2">
      <c r="A55" s="151">
        <v>10</v>
      </c>
      <c r="B55" s="152" t="s">
        <v>82</v>
      </c>
      <c r="C55" s="153"/>
      <c r="D55" s="88">
        <f>'[1]Form-1_AnticipatedVsActual_BI'!$C$65</f>
        <v>15.781225000000001</v>
      </c>
      <c r="E55" s="178"/>
      <c r="F55" s="152" t="str">
        <f>'[1]Report_Daily Hrly Load Sheet '!B121</f>
        <v>BYPL THROUGH APPCPL</v>
      </c>
      <c r="G55" s="153"/>
      <c r="H55" s="78">
        <f>'[1]Report_Daily Hrly Load Sheet '!AB121/100</f>
        <v>0</v>
      </c>
      <c r="I55" s="41">
        <f>'[1]Report_Daily Hrly Load Sheet '!AC121/100</f>
        <v>0</v>
      </c>
      <c r="J55" s="179"/>
      <c r="K55" s="11" t="s">
        <v>83</v>
      </c>
    </row>
    <row r="56" spans="1:28" ht="19.5" customHeight="1" x14ac:dyDescent="0.2">
      <c r="A56" s="151">
        <v>11</v>
      </c>
      <c r="B56" s="152" t="s">
        <v>84</v>
      </c>
      <c r="C56" s="153"/>
      <c r="D56" s="81">
        <f>SUM(D46:D50,D52:D55)</f>
        <v>268.27909901749996</v>
      </c>
      <c r="E56" s="178"/>
      <c r="F56" s="152" t="str">
        <f>'[1]Report_Daily Hrly Load Sheet '!B122</f>
        <v>BRPL THROUGH APPCPL</v>
      </c>
      <c r="G56" s="153"/>
      <c r="H56" s="78">
        <f>'[1]Report_Daily Hrly Load Sheet '!AB122/100</f>
        <v>0</v>
      </c>
      <c r="I56" s="41">
        <f>'[1]Report_Daily Hrly Load Sheet '!AC122/100</f>
        <v>0</v>
      </c>
      <c r="J56" s="179"/>
    </row>
    <row r="57" spans="1:28" ht="19.5" customHeight="1" x14ac:dyDescent="0.2">
      <c r="A57" s="151">
        <v>12</v>
      </c>
      <c r="B57" s="152" t="s">
        <v>85</v>
      </c>
      <c r="C57" s="153"/>
      <c r="D57" s="81">
        <f>[1]Report_GoHP!$AN$107</f>
        <v>83.508016260000019</v>
      </c>
      <c r="E57" s="178"/>
      <c r="F57" s="152" t="str">
        <f>'[1]Report_Daily Hrly Load Sheet '!B123</f>
        <v>PSPCL THROUGH APPCPL &amp; PTC</v>
      </c>
      <c r="G57" s="153"/>
      <c r="H57" s="78">
        <f>'[1]Report_Daily Hrly Load Sheet '!AB123/100</f>
        <v>0</v>
      </c>
      <c r="I57" s="41">
        <f>'[1]Report_Daily Hrly Load Sheet '!AC123/100</f>
        <v>0</v>
      </c>
      <c r="J57" s="180"/>
      <c r="O57" s="92"/>
      <c r="S57" s="92">
        <f>SUM(I63:I70)</f>
        <v>0</v>
      </c>
    </row>
    <row r="58" spans="1:28" ht="73.900000000000006" customHeight="1" x14ac:dyDescent="0.2">
      <c r="A58" s="151">
        <v>13</v>
      </c>
      <c r="B58" s="181" t="str">
        <f>"Actual GoHP share sold out side HP to other states "&amp;'[1]Form-9_GoHP POWER'!$I$106 &amp; " @ Rs." &amp; '[1]Form-6_ImportExport'!AF5</f>
        <v>Actual GoHP share sold out side HP to other states FP 12% in  Ch-1, Ch-2, B.Suil, FP 13% in Ch3, Parbati-3, 13 % FP in Rampur, FP 12% NJPC &amp;  Koldam purchased form GoHP @ Rs.6.83</v>
      </c>
      <c r="C58" s="182"/>
      <c r="D58" s="88">
        <f>[1]Report_GoHP!$CP$101</f>
        <v>42.04852499999997</v>
      </c>
      <c r="E58" s="183"/>
      <c r="F58" s="152" t="str">
        <f>'[1]Report_Daily Hrly Load Sheet '!B124</f>
        <v>BYPL THROUGH  STATKRAFT</v>
      </c>
      <c r="G58" s="153"/>
      <c r="H58" s="78">
        <f>'[1]Report_Daily Hrly Load Sheet '!AB124/100</f>
        <v>0</v>
      </c>
      <c r="I58" s="41">
        <f>'[1]Report_Daily Hrly Load Sheet '!AC124/100</f>
        <v>0</v>
      </c>
      <c r="J58" s="179"/>
      <c r="P58" s="11">
        <v>1</v>
      </c>
    </row>
    <row r="59" spans="1:28" ht="98.25" customHeight="1" x14ac:dyDescent="0.2">
      <c r="A59" s="151">
        <v>14</v>
      </c>
      <c r="B59" s="181" t="str">
        <f>"GoHP share  Schedule to HPSEBL "&amp;'[1]Form-9_GoHP POWER'!$I$107 &amp;  "HPSEBL Purchase from GoHP power ("&amp;BS107&amp;") (at HP periphery)"</f>
        <v>GoHP share  Schedule to HPSEBL Equity : NJPC 22%,  Rampur  26.1%, Koldam 15% UA &amp; SORHPSEBL Purchase from GoHP power () (at HP periphery)</v>
      </c>
      <c r="C59" s="182"/>
      <c r="D59" s="81">
        <f>[1]Report_GoHP!G101</f>
        <v>41.422650000000012</v>
      </c>
      <c r="E59" s="183"/>
      <c r="F59" s="152" t="str">
        <f>'[1]Report_Daily Hrly Load Sheet '!B125</f>
        <v>PUNJAB THROUGH APPCPL</v>
      </c>
      <c r="G59" s="153"/>
      <c r="H59" s="78">
        <f>'[1]Report_Daily Hrly Load Sheet '!AB125/100</f>
        <v>0</v>
      </c>
      <c r="I59" s="41">
        <f>'[1]Report_Daily Hrly Load Sheet '!AC125/100</f>
        <v>0</v>
      </c>
      <c r="J59" s="179"/>
      <c r="L59" s="184"/>
      <c r="O59" s="92"/>
    </row>
    <row r="60" spans="1:28" ht="27.6" customHeight="1" x14ac:dyDescent="0.2">
      <c r="A60" s="151">
        <v>15</v>
      </c>
      <c r="B60" s="185" t="str">
        <f>"Additional RTM/URS power Purchased  GoHP    "&amp;'[1]Form-9_GoHP POWER'!$I$108</f>
        <v xml:space="preserve">Additional RTM/URS power Purchased  GoHP    </v>
      </c>
      <c r="C60" s="186"/>
      <c r="D60" s="81">
        <f>-[1]Report_GoHP!CI101</f>
        <v>0.86567499999999997</v>
      </c>
      <c r="E60" s="183"/>
      <c r="F60" s="152" t="str">
        <f>'[1]Report_Daily Hrly Load Sheet '!B126</f>
        <v>BYPL THROUGH  MPL</v>
      </c>
      <c r="G60" s="153"/>
      <c r="H60" s="78">
        <f>'[1]Report_Daily Hrly Load Sheet '!AB126/100</f>
        <v>0</v>
      </c>
      <c r="I60" s="41">
        <f>'[1]Report_Daily Hrly Load Sheet '!AC126/100</f>
        <v>0</v>
      </c>
      <c r="J60" s="179"/>
    </row>
    <row r="61" spans="1:28" ht="39.6" customHeight="1" x14ac:dyDescent="0.2">
      <c r="A61" s="151">
        <v>16</v>
      </c>
      <c r="B61" s="152" t="s">
        <v>86</v>
      </c>
      <c r="C61" s="153"/>
      <c r="D61" s="81">
        <f>D57-D58-D59</f>
        <v>3.6841260000038289E-2</v>
      </c>
      <c r="E61" s="178"/>
      <c r="F61" s="152" t="str">
        <f>'[1]Report_Daily Hrly Load Sheet '!B127</f>
        <v>AS &amp; WHEN</v>
      </c>
      <c r="G61" s="153"/>
      <c r="H61" s="78">
        <f>'[1]Report_Daily Hrly Load Sheet '!AB127/100</f>
        <v>0</v>
      </c>
      <c r="I61" s="41">
        <f>'[1]Report_Daily Hrly Load Sheet '!AC127/100</f>
        <v>0</v>
      </c>
      <c r="J61" s="179"/>
      <c r="AA61" s="92">
        <f>'[1]Form-1_AnticipatedVsActual_BI'!G41</f>
        <v>5.29</v>
      </c>
      <c r="AB61" s="92">
        <f>'[1]Form-1_AnticipatedVsActual_BI'!G44</f>
        <v>18.68</v>
      </c>
    </row>
    <row r="62" spans="1:28" ht="20.25" customHeight="1" x14ac:dyDescent="0.2">
      <c r="A62" s="151">
        <v>17</v>
      </c>
      <c r="B62" s="165" t="s">
        <v>87</v>
      </c>
      <c r="C62" s="166"/>
      <c r="D62" s="81">
        <f>[1]Report_GoHP!$AN$109</f>
        <v>6.3467749999999974</v>
      </c>
      <c r="E62" s="178"/>
      <c r="F62" s="187" t="s">
        <v>88</v>
      </c>
      <c r="G62" s="188"/>
      <c r="H62" s="78"/>
      <c r="I62" s="41"/>
      <c r="J62" s="179"/>
      <c r="L62" s="92"/>
      <c r="N62" s="11" t="s">
        <v>89</v>
      </c>
    </row>
    <row r="63" spans="1:28" ht="36.6" customHeight="1" x14ac:dyDescent="0.2">
      <c r="A63" s="151">
        <v>18</v>
      </c>
      <c r="B63" s="189" t="s">
        <v>90</v>
      </c>
      <c r="C63" s="190"/>
      <c r="D63" s="191">
        <f>[1]IntraState_Generator!V12+[1]IntraState_Generator!V17+[1]IntraState_Generator!V22+[1]IntraState_Generator!V28+[1]IntraState_Generator!V34+[1]IntraState_Generator!V40+[1]IntraState_Generator!V46+[1]IntraState_Generator!V52+[1]IntraState_Generator!V58+[1]IntraState_Generator!V64+[1]IntraState_Generator!V70+[1]IntraState_Generator!V77+[1]IntraState_Generator!V82+[1]IntraState_Generator!U87</f>
        <v>-0.50378628000000347</v>
      </c>
      <c r="E63" s="192"/>
      <c r="F63" s="152" t="str">
        <f>'[1]Report_Daily Hrly Load Sheet '!B128</f>
        <v>WEST BENGAL THROUGH IPCL</v>
      </c>
      <c r="G63" s="153"/>
      <c r="H63" s="78">
        <f>'[1]Report_Daily Hrly Load Sheet '!AB128/100</f>
        <v>0</v>
      </c>
      <c r="I63" s="78">
        <f>'[1]Report_Daily Hrly Load Sheet '!AC128/100</f>
        <v>0</v>
      </c>
      <c r="J63" s="179"/>
      <c r="K63" s="11">
        <v>17</v>
      </c>
      <c r="L63" s="193" t="s">
        <v>91</v>
      </c>
    </row>
    <row r="64" spans="1:28" ht="20.25" customHeight="1" x14ac:dyDescent="0.2">
      <c r="A64" s="151">
        <v>19</v>
      </c>
      <c r="B64" s="194" t="s">
        <v>92</v>
      </c>
      <c r="C64" s="194"/>
      <c r="D64" s="88">
        <f>D56-D58</f>
        <v>226.23057401749998</v>
      </c>
      <c r="E64" s="178"/>
      <c r="F64" s="152" t="str">
        <f>'[1]Report_Daily Hrly Load Sheet '!B129</f>
        <v>MEGHALAYA THROUGH KEIPL</v>
      </c>
      <c r="G64" s="153"/>
      <c r="H64" s="78">
        <f>'[1]Report_Daily Hrly Load Sheet '!AB129/100</f>
        <v>0</v>
      </c>
      <c r="I64" s="78">
        <f>'[1]Report_Daily Hrly Load Sheet '!AC129/100</f>
        <v>0</v>
      </c>
      <c r="J64" s="179"/>
    </row>
    <row r="65" spans="1:19" ht="35.25" customHeight="1" x14ac:dyDescent="0.2">
      <c r="A65" s="151">
        <v>20</v>
      </c>
      <c r="B65" s="195" t="s">
        <v>93</v>
      </c>
      <c r="C65" s="196" t="s">
        <v>70</v>
      </c>
      <c r="D65" s="197" t="s">
        <v>71</v>
      </c>
      <c r="E65" s="178"/>
      <c r="F65" s="152" t="str">
        <f>'[1]Report_Daily Hrly Load Sheet '!B130</f>
        <v>WEST BENGAL THROUGH IPCL</v>
      </c>
      <c r="G65" s="153"/>
      <c r="H65" s="78">
        <f>'[1]Report_Daily Hrly Load Sheet '!AB130/100</f>
        <v>0</v>
      </c>
      <c r="I65" s="78">
        <f>'[1]Report_Daily Hrly Load Sheet '!AC130/100</f>
        <v>0</v>
      </c>
      <c r="J65" s="179"/>
    </row>
    <row r="66" spans="1:19" ht="39.75" customHeight="1" x14ac:dyDescent="0.2">
      <c r="A66" s="151"/>
      <c r="B66" s="166" t="str">
        <f>'[1]Report_Daily Hrly Load Sheet '!$B$101</f>
        <v>Market Purchase  (OA Consumers)</v>
      </c>
      <c r="C66" s="78">
        <f>'[1]Report_Daily Hrly Load Sheet '!$AB$101/100</f>
        <v>0</v>
      </c>
      <c r="D66" s="84">
        <f>'[1]Report_Daily Hrly Load Sheet '!$AC$101/100</f>
        <v>0</v>
      </c>
      <c r="E66" s="178"/>
      <c r="F66" s="152" t="str">
        <f>IF(I66=0,"",'[1]Report_Daily Hrly Load Sheet '!B134)</f>
        <v/>
      </c>
      <c r="G66" s="153"/>
      <c r="H66" s="78">
        <f>'[1]Report_Daily Hrly Load Sheet '!AB134/100</f>
        <v>0</v>
      </c>
      <c r="I66" s="41">
        <f>'[1]Report_Daily Hrly Load Sheet '!AC134/100</f>
        <v>0</v>
      </c>
      <c r="J66" s="179"/>
      <c r="K66" s="198">
        <f>I71-155.701</f>
        <v>-151.92599999999999</v>
      </c>
    </row>
    <row r="67" spans="1:19" ht="47.25" customHeight="1" x14ac:dyDescent="0.25">
      <c r="A67" s="151"/>
      <c r="B67" s="166" t="str">
        <f>'[1]Report_Daily Hrly Load Sheet '!$B$102&amp;" @ "&amp;'[1]Form-6_ImportExport'!AF7</f>
        <v>HPSEBL Import Through IEX  @ 2.76</v>
      </c>
      <c r="C67" s="78">
        <f>'[1]Report_Daily Hrly Load Sheet '!$AB$102/100</f>
        <v>43.960749999999997</v>
      </c>
      <c r="D67" s="84">
        <f>'[1]Report_Daily Hrly Load Sheet '!$AC$102/100</f>
        <v>42.408935524999997</v>
      </c>
      <c r="E67" s="178"/>
      <c r="F67" s="152" t="str">
        <f>IF(I67=0,"",'[1]Report_Daily Hrly Load Sheet '!B135)</f>
        <v/>
      </c>
      <c r="G67" s="153"/>
      <c r="H67" s="78">
        <f>'[1]Report_Daily Hrly Load Sheet '!AB135/100</f>
        <v>0</v>
      </c>
      <c r="I67" s="41">
        <f>'[1]Report_Daily Hrly Load Sheet '!AC135/100</f>
        <v>0</v>
      </c>
      <c r="J67" s="199"/>
    </row>
    <row r="68" spans="1:19" ht="29.45" customHeight="1" x14ac:dyDescent="0.2">
      <c r="A68" s="151"/>
      <c r="B68" s="166" t="str">
        <f>'[1]Report_Daily Hrly Load Sheet '!B103</f>
        <v>Import through RTM IEX</v>
      </c>
      <c r="C68" s="78">
        <f>'[1]Report_Daily Hrly Load Sheet '!AB103/100</f>
        <v>54.349700000000006</v>
      </c>
      <c r="D68" s="84">
        <f>'[1]Report_Daily Hrly Load Sheet '!AC103/100</f>
        <v>52.431155589999996</v>
      </c>
      <c r="E68" s="178"/>
      <c r="F68" s="152" t="str">
        <f>IF(I68=0,"",'[1]Report_Daily Hrly Load Sheet '!B136)</f>
        <v/>
      </c>
      <c r="G68" s="153"/>
      <c r="H68" s="78">
        <f>'[1]Report_Daily Hrly Load Sheet '!AB136/100</f>
        <v>0</v>
      </c>
      <c r="I68" s="41">
        <f>'[1]Report_Daily Hrly Load Sheet '!AC136/100</f>
        <v>0</v>
      </c>
      <c r="J68" s="200"/>
    </row>
    <row r="69" spans="1:19" ht="29.45" customHeight="1" x14ac:dyDescent="0.2">
      <c r="A69" s="151"/>
      <c r="B69" s="166" t="str">
        <f>'[1]Report_Daily Hrly Load Sheet '!B104</f>
        <v>G DAM THROUGH HPSEBL</v>
      </c>
      <c r="C69" s="78">
        <f>'[1]Report_Daily Hrly Load Sheet '!AB104/100</f>
        <v>0</v>
      </c>
      <c r="D69" s="84">
        <f>'[1]Report_Daily Hrly Load Sheet '!AC104/100</f>
        <v>0</v>
      </c>
      <c r="E69" s="178"/>
      <c r="F69" s="152" t="str">
        <f>IF(I69=0,"",'[1]Report_Daily Hrly Load Sheet '!B137)</f>
        <v/>
      </c>
      <c r="G69" s="153"/>
      <c r="H69" s="78">
        <f>'[1]Report_Daily Hrly Load Sheet '!AB137/100</f>
        <v>0</v>
      </c>
      <c r="I69" s="41">
        <f>'[1]Report_Daily Hrly Load Sheet '!AC137/100</f>
        <v>0</v>
      </c>
      <c r="J69" s="200"/>
    </row>
    <row r="70" spans="1:19" ht="39" customHeight="1" x14ac:dyDescent="0.2">
      <c r="A70" s="151"/>
      <c r="B70" s="166" t="str">
        <f>'[1]Report_Daily Hrly Load Sheet '!B105</f>
        <v>GoHP to HPSEBL</v>
      </c>
      <c r="C70" s="78">
        <f>'[1]Report_Daily Hrly Load Sheet '!AB105/100</f>
        <v>0</v>
      </c>
      <c r="D70" s="84">
        <f>'[1]Report_Daily Hrly Load Sheet '!AC105/100</f>
        <v>0</v>
      </c>
      <c r="E70" s="178"/>
      <c r="F70" s="152" t="str">
        <f>IF(I70=0,"",'[1]Report_Daily Hrly Load Sheet '!B138)</f>
        <v/>
      </c>
      <c r="G70" s="153"/>
      <c r="H70" s="78">
        <f>'[1]Report_Daily Hrly Load Sheet '!AB138/100</f>
        <v>0</v>
      </c>
      <c r="I70" s="41">
        <f>'[1]Report_Daily Hrly Load Sheet '!AC138/100</f>
        <v>0</v>
      </c>
      <c r="J70" s="200"/>
      <c r="K70" s="201" t="s">
        <v>94</v>
      </c>
      <c r="L70" s="201"/>
      <c r="M70" s="201"/>
      <c r="N70" s="201"/>
      <c r="O70" s="201"/>
      <c r="P70" s="201"/>
      <c r="Q70" s="201"/>
      <c r="R70" s="201"/>
      <c r="S70" s="201"/>
    </row>
    <row r="71" spans="1:19" ht="35.25" customHeight="1" x14ac:dyDescent="0.2">
      <c r="A71" s="151"/>
      <c r="B71" s="166" t="str">
        <f>'[1]Report_Daily Hrly Load Sheet '!B106</f>
        <v>BRPL through APPCL</v>
      </c>
      <c r="C71" s="78">
        <f>'[1]Report_Daily Hrly Load Sheet '!AB106/100</f>
        <v>0</v>
      </c>
      <c r="D71" s="84">
        <f>'[1]Report_Daily Hrly Load Sheet '!AC106/100</f>
        <v>0</v>
      </c>
      <c r="E71" s="202">
        <v>22</v>
      </c>
      <c r="F71" s="203" t="s">
        <v>95</v>
      </c>
      <c r="G71" s="203"/>
      <c r="H71" s="204">
        <f>SUM(H47:H49,H52:H70)</f>
        <v>3.7749999999999999</v>
      </c>
      <c r="I71" s="205">
        <f>SUM(I47:I49,I52:I70)</f>
        <v>3.7749999999999999</v>
      </c>
      <c r="J71" s="200"/>
      <c r="K71" s="206" t="s">
        <v>96</v>
      </c>
      <c r="L71" s="206" t="s">
        <v>97</v>
      </c>
      <c r="M71" s="206" t="s">
        <v>98</v>
      </c>
      <c r="N71" s="206" t="s">
        <v>99</v>
      </c>
      <c r="O71" s="207" t="s">
        <v>100</v>
      </c>
      <c r="P71" s="207" t="s">
        <v>97</v>
      </c>
      <c r="Q71" s="207" t="s">
        <v>98</v>
      </c>
      <c r="R71" s="207" t="s">
        <v>99</v>
      </c>
      <c r="S71" s="208" t="s">
        <v>101</v>
      </c>
    </row>
    <row r="72" spans="1:19" ht="36" customHeight="1" x14ac:dyDescent="0.2">
      <c r="A72" s="151"/>
      <c r="B72" s="166" t="str">
        <f>'[1]Report_Daily Hrly Load Sheet '!B107</f>
        <v>BRPL through MPL</v>
      </c>
      <c r="C72" s="78">
        <f>'[1]Report_Daily Hrly Load Sheet '!AB107/100</f>
        <v>0</v>
      </c>
      <c r="D72" s="84">
        <f>'[1]Report_Daily Hrly Load Sheet '!AC107/100</f>
        <v>0</v>
      </c>
      <c r="E72" s="202">
        <v>23</v>
      </c>
      <c r="F72" s="209" t="s">
        <v>102</v>
      </c>
      <c r="G72" s="209"/>
      <c r="H72" s="209"/>
      <c r="I72" s="210">
        <f>D64+D83-I71</f>
        <v>317.29566513250001</v>
      </c>
      <c r="J72" s="211"/>
      <c r="K72" s="206">
        <f>[1]Report_Actual_RTD!BC102</f>
        <v>49.89</v>
      </c>
      <c r="L72" s="206" t="str">
        <f>MID([1]Report_Actual_RTD!BA102,7,7)</f>
        <v>09.30</v>
      </c>
      <c r="M72" s="206">
        <f>[1]Report_Actual_RTD!BD102</f>
        <v>0</v>
      </c>
      <c r="N72" s="206">
        <f>[1]Report_Actual_RTD!BF102</f>
        <v>6.6401799999999866</v>
      </c>
      <c r="O72" s="207">
        <f>[1]Report_Actual_RTD!BG102</f>
        <v>50.16</v>
      </c>
      <c r="P72" s="207" t="str">
        <f>MID([1]Report_Actual_RTD!BA101,7,7)</f>
        <v>08.00</v>
      </c>
      <c r="Q72" s="207">
        <f>[1]Report_Actual_RTD!BH102</f>
        <v>26.918538000000012</v>
      </c>
      <c r="R72" s="207">
        <f>[1]Report_Actual_RTD!BJ102</f>
        <v>0</v>
      </c>
      <c r="S72" s="208">
        <f>I78</f>
        <v>49.996041666666677</v>
      </c>
    </row>
    <row r="73" spans="1:19" ht="33.75" customHeight="1" x14ac:dyDescent="0.2">
      <c r="A73" s="151"/>
      <c r="B73" s="166" t="str">
        <f>'[1]Report_Daily Hrly Load Sheet '!B108</f>
        <v xml:space="preserve">BRPL through MPL </v>
      </c>
      <c r="C73" s="78">
        <f>'[1]Report_Daily Hrly Load Sheet '!AB108/100</f>
        <v>0</v>
      </c>
      <c r="D73" s="84">
        <f>'[1]Report_Daily Hrly Load Sheet '!AC108/100</f>
        <v>0</v>
      </c>
      <c r="E73" s="202">
        <v>24</v>
      </c>
      <c r="F73" s="209" t="s">
        <v>103</v>
      </c>
      <c r="G73" s="209"/>
      <c r="H73" s="209"/>
      <c r="I73" s="210">
        <f>[1]Report_Actual_RTD!$E$101</f>
        <v>323.35000000000002</v>
      </c>
      <c r="J73" s="211"/>
    </row>
    <row r="74" spans="1:19" ht="39" customHeight="1" x14ac:dyDescent="0.2">
      <c r="A74" s="151"/>
      <c r="B74" s="166" t="str">
        <f>'[1]Report_Daily Hrly Load Sheet '!B109</f>
        <v>MEJA</v>
      </c>
      <c r="C74" s="78">
        <f>'[1]Report_Daily Hrly Load Sheet '!AB109/100</f>
        <v>0</v>
      </c>
      <c r="D74" s="84">
        <f>'[1]Report_Daily Hrly Load Sheet '!AC109/100</f>
        <v>0</v>
      </c>
      <c r="E74" s="202">
        <v>25</v>
      </c>
      <c r="F74" s="209" t="s">
        <v>104</v>
      </c>
      <c r="G74" s="209"/>
      <c r="H74" s="209"/>
      <c r="I74" s="41">
        <f>I72-I73</f>
        <v>-6.0543348675000175</v>
      </c>
    </row>
    <row r="75" spans="1:19" ht="41.25" customHeight="1" x14ac:dyDescent="0.2">
      <c r="A75" s="151"/>
      <c r="B75" s="166" t="str">
        <f>'[1]Report_Daily Hrly Load Sheet '!B110</f>
        <v>PUNJAB through APPCPL</v>
      </c>
      <c r="C75" s="78">
        <f>'[1]Report_Daily Hrly Load Sheet '!AB110/100</f>
        <v>0</v>
      </c>
      <c r="D75" s="84">
        <f>'[1]Report_Daily Hrly Load Sheet '!AC110/100</f>
        <v>0</v>
      </c>
      <c r="E75" s="202">
        <v>26</v>
      </c>
      <c r="F75" s="209" t="s">
        <v>105</v>
      </c>
      <c r="G75" s="209"/>
      <c r="H75" s="209"/>
      <c r="I75" s="41" t="str">
        <f>ROUND([1]Report_Actual_RTD!Q106,2)&amp;" , "&amp;ROUND([1]Report_Actual_RTD!R106,2) &amp;" &amp; "&amp;ROUND([1]Report_Actual_RTD!AJ101,2)</f>
        <v>5.03 , 3.15 &amp; 5.51</v>
      </c>
      <c r="J75" s="212"/>
      <c r="N75" s="11" t="s">
        <v>106</v>
      </c>
      <c r="O75" s="193" t="s">
        <v>107</v>
      </c>
      <c r="P75" s="193"/>
    </row>
    <row r="76" spans="1:19" ht="34.5" customHeight="1" x14ac:dyDescent="0.2">
      <c r="A76" s="151"/>
      <c r="B76" s="166" t="str">
        <f>'[1]Report_Daily Hrly Load Sheet '!B111</f>
        <v>IEXL ( JPL-2 &amp; DBPL &amp; OPGPGUNIT1TN)</v>
      </c>
      <c r="C76" s="78">
        <f>'[1]Report_Daily Hrly Load Sheet '!AB111/100</f>
        <v>0</v>
      </c>
      <c r="D76" s="84">
        <f>'[1]Report_Daily Hrly Load Sheet '!AC111/100</f>
        <v>0</v>
      </c>
      <c r="E76" s="202">
        <v>27</v>
      </c>
      <c r="F76" s="209" t="s">
        <v>108</v>
      </c>
      <c r="G76" s="209"/>
      <c r="H76" s="209"/>
      <c r="I76" s="210">
        <f>'[1]Report_Daily Hrly Load Sheet '!$AB$86/100</f>
        <v>0</v>
      </c>
      <c r="J76" s="212"/>
      <c r="N76" s="11" t="s">
        <v>109</v>
      </c>
      <c r="O76" s="193" t="s">
        <v>110</v>
      </c>
      <c r="P76" s="193"/>
    </row>
    <row r="77" spans="1:19" ht="27" customHeight="1" x14ac:dyDescent="0.2">
      <c r="A77" s="151"/>
      <c r="B77" s="166" t="str">
        <f>'[1]Report_Daily Hrly Load Sheet '!B113</f>
        <v>BYPL through APPCPL</v>
      </c>
      <c r="C77" s="78">
        <f>'[1]Report_Daily Hrly Load Sheet '!AB113/100</f>
        <v>0</v>
      </c>
      <c r="D77" s="78">
        <f>'[1]Report_Daily Hrly Load Sheet '!AC113/100</f>
        <v>0</v>
      </c>
      <c r="E77" s="202">
        <v>28</v>
      </c>
      <c r="F77" s="209" t="s">
        <v>111</v>
      </c>
      <c r="G77" s="209"/>
      <c r="H77" s="209"/>
      <c r="I77" s="41">
        <f>I73+I76</f>
        <v>323.35000000000002</v>
      </c>
      <c r="J77" s="212"/>
    </row>
    <row r="78" spans="1:19" ht="28.5" customHeight="1" x14ac:dyDescent="0.2">
      <c r="A78" s="151"/>
      <c r="B78" s="166"/>
      <c r="C78" s="94"/>
      <c r="D78" s="84"/>
      <c r="E78" s="202">
        <v>29</v>
      </c>
      <c r="F78" s="152" t="str">
        <f>"Average Frequency (Hz) :(Max.Freq. "&amp;MAX([1]Report_Actual_RTD!C5:C100)&amp;" at "&amp;MID([1]Report_Actual_RTD!BA101,7,7)&amp;" Hrs, Min.Freq. "&amp;MIN([1]Report_Actual_RTD!C5:C100)&amp;" at "&amp;MID([1]Report_Actual_RTD!BA102,7,7)&amp;" Hrs)"</f>
        <v>Average Frequency (Hz) :(Max.Freq. 50.16 at 08.00 Hrs, Min.Freq. 49.89 at 09.30 Hrs)</v>
      </c>
      <c r="G78" s="213"/>
      <c r="H78" s="153"/>
      <c r="I78" s="41">
        <f>[1]Report_Actual_RTD!$C$101</f>
        <v>49.996041666666677</v>
      </c>
    </row>
    <row r="79" spans="1:19" s="216" customFormat="1" ht="21.75" customHeight="1" x14ac:dyDescent="0.2">
      <c r="A79" s="151"/>
      <c r="B79" s="214"/>
      <c r="C79" s="94"/>
      <c r="D79" s="84"/>
      <c r="E79" s="202">
        <v>30</v>
      </c>
      <c r="F79" s="209" t="str">
        <f>[1]Report_Actual_RTD!A105</f>
        <v xml:space="preserve">Max Demand observed (MW) (at 07.30 Hrs.) </v>
      </c>
      <c r="G79" s="209"/>
      <c r="H79" s="209"/>
      <c r="I79" s="215">
        <f>[1]Report_Actual_RTD!$B$104</f>
        <v>1727</v>
      </c>
      <c r="K79" s="11"/>
      <c r="L79" s="11"/>
      <c r="M79" s="11"/>
      <c r="N79" s="11"/>
      <c r="O79" s="11"/>
      <c r="P79" s="11"/>
      <c r="Q79" s="11"/>
      <c r="R79" s="11"/>
      <c r="S79" s="11"/>
    </row>
    <row r="80" spans="1:19" s="216" customFormat="1" ht="20.25" x14ac:dyDescent="0.2">
      <c r="A80" s="151"/>
      <c r="B80" s="214"/>
      <c r="C80" s="94"/>
      <c r="D80" s="84"/>
      <c r="E80" s="202">
        <v>31</v>
      </c>
      <c r="F80" s="209" t="str">
        <f>[1]Report_Actual_RTD!A107</f>
        <v xml:space="preserve">Min Demand at observed (MW) (at 00.30 Hrs.) </v>
      </c>
      <c r="G80" s="209"/>
      <c r="H80" s="209"/>
      <c r="I80" s="215">
        <f>[1]Report_Actual_RTD!$B$106</f>
        <v>1026</v>
      </c>
      <c r="K80" s="11"/>
      <c r="L80" s="11"/>
      <c r="M80" s="11"/>
      <c r="N80" s="11"/>
      <c r="O80" s="11"/>
      <c r="P80" s="11"/>
      <c r="Q80" s="11"/>
      <c r="R80" s="11"/>
      <c r="S80" s="11"/>
    </row>
    <row r="81" spans="1:19" ht="27" customHeight="1" x14ac:dyDescent="0.2">
      <c r="A81" s="151"/>
      <c r="B81" s="214"/>
      <c r="C81" s="78"/>
      <c r="D81" s="84"/>
      <c r="E81" s="217">
        <v>32</v>
      </c>
      <c r="F81" s="218" t="s">
        <v>112</v>
      </c>
      <c r="G81" s="152" t="s">
        <v>113</v>
      </c>
      <c r="H81" s="213"/>
      <c r="I81" s="41">
        <f>'[1]Surrendered Energy'!BD105</f>
        <v>0</v>
      </c>
      <c r="K81" s="216"/>
      <c r="L81" s="216"/>
      <c r="M81" s="216"/>
      <c r="N81" s="216"/>
      <c r="O81" s="216"/>
      <c r="P81" s="216"/>
      <c r="Q81" s="216"/>
      <c r="R81" s="216"/>
      <c r="S81" s="216"/>
    </row>
    <row r="82" spans="1:19" ht="22.5" customHeight="1" x14ac:dyDescent="0.25">
      <c r="A82" s="151"/>
      <c r="B82" s="214"/>
      <c r="C82" s="78"/>
      <c r="D82" s="84"/>
      <c r="E82" s="219"/>
      <c r="F82" s="218"/>
      <c r="G82" s="220" t="str">
        <f>"Gas: " &amp; IF('[1]Surrendered Energy'!BE105&lt;0,0,ROUND('[1]Surrendered Energy'!BE105,2))&amp;" &amp; Thermal: " &amp;IF('[1]Surrendered Energy'!BF105&lt;0,0,ROUND('[1]Surrendered Energy'!BF105,2))</f>
        <v>Gas: 0 &amp; Thermal: 0</v>
      </c>
      <c r="H82" s="213"/>
      <c r="I82" s="221">
        <f>IF(AND('[1]Surrendered Energy'!BF105&lt;0,'[1]Surrendered Energy'!BE105&lt;0),0,IF(AND('[1]Surrendered Energy'!BF105&gt;=0,'[1]Surrendered Energy'!BE105&gt;=0),('[1]Surrendered Energy'!BF105+'[1]Surrendered Energy'!BE105),IF('[1]Surrendered Energy'!BE105&gt;0,'[1]Surrendered Energy'!BE105,'[1]Surrendered Energy'!BF105)))</f>
        <v>0</v>
      </c>
      <c r="J82" s="222"/>
      <c r="K82" s="216"/>
      <c r="L82" s="216"/>
      <c r="M82" s="216"/>
      <c r="N82" s="216"/>
      <c r="O82" s="216"/>
      <c r="P82" s="216"/>
      <c r="Q82" s="216"/>
      <c r="R82" s="216"/>
      <c r="S82" s="216"/>
    </row>
    <row r="83" spans="1:19" ht="30.6" customHeight="1" thickBot="1" x14ac:dyDescent="0.3">
      <c r="A83" s="151">
        <v>21</v>
      </c>
      <c r="B83" s="223" t="s">
        <v>114</v>
      </c>
      <c r="C83" s="196">
        <f>SUM(C66:C82)</f>
        <v>98.310450000000003</v>
      </c>
      <c r="D83" s="224">
        <f>SUM(D66:D82)</f>
        <v>94.840091114999993</v>
      </c>
      <c r="E83" s="225"/>
      <c r="F83" s="226"/>
      <c r="G83" s="227" t="str">
        <f>"Total Surrendered :(Amount: "&amp;ROUND([1]SurrenderedAmount!DI100,2)  &amp;" Lacs,  Avg. Rate: "&amp;ROUND([1]SurrenderedAmount!DK100,2)&amp;")"</f>
        <v>Total Surrendered :(Amount: 0 Lacs,  Avg. Rate: 0)</v>
      </c>
      <c r="H83" s="228"/>
      <c r="I83" s="170">
        <f>I81+I82</f>
        <v>0</v>
      </c>
      <c r="J83" s="222"/>
    </row>
    <row r="84" spans="1:19" ht="23.45" customHeight="1" thickBot="1" x14ac:dyDescent="0.3">
      <c r="A84" s="151">
        <v>22</v>
      </c>
      <c r="B84" s="223" t="s">
        <v>115</v>
      </c>
      <c r="C84" s="196"/>
      <c r="D84" s="224">
        <f>'[1]Form-4B URS_booked'!BC105</f>
        <v>15.644566695000004</v>
      </c>
      <c r="E84" s="229"/>
      <c r="F84" s="230" t="s">
        <v>116</v>
      </c>
      <c r="G84" s="231"/>
      <c r="H84" s="231"/>
      <c r="I84" s="232">
        <f>'[1]Form-1_AnticipatedVsActual_BI'!I80</f>
        <v>221.80440999999999</v>
      </c>
      <c r="J84" s="222"/>
    </row>
    <row r="85" spans="1:19" ht="22.9" customHeight="1" x14ac:dyDescent="0.25">
      <c r="A85" s="151">
        <v>23</v>
      </c>
      <c r="B85" s="223" t="s">
        <v>117</v>
      </c>
      <c r="C85" s="196"/>
      <c r="D85" s="224">
        <f>D64-D84</f>
        <v>210.58600732249997</v>
      </c>
      <c r="E85" s="229"/>
      <c r="F85" s="233"/>
      <c r="G85" s="234"/>
      <c r="H85" s="234"/>
      <c r="I85" s="235"/>
      <c r="J85" s="222"/>
    </row>
    <row r="86" spans="1:19" ht="13.9" customHeight="1" x14ac:dyDescent="0.25">
      <c r="A86" s="236" t="s">
        <v>118</v>
      </c>
      <c r="B86" s="237" t="s">
        <v>119</v>
      </c>
      <c r="C86" s="238"/>
      <c r="D86" s="239"/>
      <c r="E86" s="240"/>
      <c r="F86" s="240"/>
      <c r="G86" s="212"/>
      <c r="H86" s="212"/>
      <c r="I86" s="241"/>
      <c r="J86" s="242"/>
    </row>
    <row r="87" spans="1:19" ht="12" customHeight="1" x14ac:dyDescent="0.2">
      <c r="A87" s="243"/>
      <c r="B87" s="237" t="s">
        <v>120</v>
      </c>
      <c r="C87" s="244"/>
      <c r="D87" s="244"/>
      <c r="E87" s="245"/>
      <c r="F87" s="245"/>
      <c r="G87" s="246"/>
      <c r="H87" s="246"/>
      <c r="I87" s="247"/>
      <c r="J87" s="248"/>
    </row>
    <row r="88" spans="1:19" ht="12" customHeight="1" x14ac:dyDescent="0.2">
      <c r="A88" s="249"/>
      <c r="B88" s="250" t="s">
        <v>121</v>
      </c>
      <c r="C88" s="251"/>
      <c r="D88" s="251"/>
      <c r="E88" s="251"/>
      <c r="F88" s="246"/>
      <c r="G88" s="246"/>
      <c r="H88" s="246"/>
      <c r="I88" s="247"/>
      <c r="J88" s="252"/>
    </row>
    <row r="89" spans="1:19" ht="11.25" customHeight="1" x14ac:dyDescent="0.2">
      <c r="A89" s="249"/>
      <c r="B89" s="250" t="s">
        <v>122</v>
      </c>
      <c r="C89" s="251"/>
      <c r="D89" s="251"/>
      <c r="E89" s="251"/>
      <c r="F89" s="253"/>
      <c r="G89" s="253"/>
      <c r="H89" s="254" t="s">
        <v>123</v>
      </c>
      <c r="I89" s="255"/>
    </row>
    <row r="90" spans="1:19" ht="16.899999999999999" customHeight="1" thickBot="1" x14ac:dyDescent="0.3">
      <c r="A90" s="256"/>
      <c r="B90" s="257"/>
      <c r="C90" s="258"/>
      <c r="D90" s="258"/>
      <c r="E90" s="259"/>
      <c r="F90" s="260"/>
      <c r="G90" s="260"/>
      <c r="H90" s="261" t="s">
        <v>124</v>
      </c>
      <c r="I90" s="262"/>
    </row>
    <row r="91" spans="1:19" ht="16.899999999999999" customHeight="1" x14ac:dyDescent="0.25">
      <c r="A91" s="263"/>
      <c r="B91" s="264"/>
      <c r="E91" s="216"/>
      <c r="F91" s="265"/>
      <c r="G91" s="216"/>
      <c r="H91" s="216"/>
      <c r="I91" s="216"/>
    </row>
    <row r="92" spans="1:19" ht="17.25" customHeight="1" x14ac:dyDescent="0.25">
      <c r="A92" s="11"/>
      <c r="B92" s="87"/>
      <c r="C92" s="87"/>
      <c r="D92" s="87"/>
      <c r="E92" s="263"/>
      <c r="F92" s="264"/>
    </row>
    <row r="93" spans="1:19" ht="17.25" customHeight="1" x14ac:dyDescent="0.25">
      <c r="A93" s="267"/>
      <c r="B93" s="268"/>
      <c r="C93" s="269"/>
      <c r="D93" s="269"/>
      <c r="E93" s="270"/>
      <c r="F93" s="263"/>
      <c r="G93" s="263"/>
      <c r="I93" s="271"/>
    </row>
    <row r="94" spans="1:19" ht="17.25" customHeight="1" x14ac:dyDescent="0.25">
      <c r="A94" s="11"/>
      <c r="E94" s="85"/>
      <c r="I94" s="272"/>
    </row>
    <row r="95" spans="1:19" ht="17.25" customHeight="1" x14ac:dyDescent="0.25">
      <c r="A95" s="273"/>
      <c r="B95" s="212"/>
      <c r="C95" s="212"/>
      <c r="D95" s="274"/>
      <c r="F95" s="274"/>
      <c r="G95" s="274"/>
      <c r="H95" s="212"/>
      <c r="I95" s="272"/>
    </row>
    <row r="96" spans="1:19" ht="17.25" customHeight="1" x14ac:dyDescent="0.25">
      <c r="A96" s="273"/>
      <c r="B96" s="274"/>
      <c r="C96" s="274"/>
      <c r="I96" s="272"/>
    </row>
    <row r="97" spans="1:9" ht="17.25" customHeight="1" x14ac:dyDescent="0.25">
      <c r="A97" s="11"/>
      <c r="D97" s="263"/>
      <c r="F97" s="263"/>
      <c r="G97" s="263"/>
      <c r="I97" s="272"/>
    </row>
    <row r="98" spans="1:9" ht="17.25" customHeight="1" x14ac:dyDescent="0.25">
      <c r="A98" s="11"/>
      <c r="B98" s="199"/>
      <c r="C98" s="263"/>
      <c r="D98" s="270"/>
      <c r="F98" s="275"/>
      <c r="G98" s="270"/>
    </row>
    <row r="99" spans="1:9" ht="17.25" customHeight="1" x14ac:dyDescent="0.25">
      <c r="A99" s="11"/>
      <c r="B99" s="270"/>
      <c r="C99" s="270"/>
      <c r="D99" s="276"/>
    </row>
    <row r="100" spans="1:9" x14ac:dyDescent="0.25">
      <c r="C100" s="278"/>
      <c r="D100" s="279"/>
      <c r="E100" s="91"/>
      <c r="G100" s="222"/>
      <c r="H100" s="222"/>
    </row>
    <row r="101" spans="1:9" x14ac:dyDescent="0.25">
      <c r="C101" s="278"/>
      <c r="D101" s="280"/>
      <c r="E101" s="91"/>
      <c r="G101" s="222"/>
      <c r="H101" s="222"/>
      <c r="I101" s="281"/>
    </row>
    <row r="102" spans="1:9" x14ac:dyDescent="0.25">
      <c r="C102" s="278"/>
      <c r="D102" s="280"/>
      <c r="E102" s="91"/>
      <c r="G102" s="222"/>
      <c r="H102" s="242"/>
      <c r="I102" s="11"/>
    </row>
    <row r="103" spans="1:9" x14ac:dyDescent="0.2">
      <c r="C103" s="278"/>
      <c r="D103" s="280"/>
      <c r="G103" s="282"/>
      <c r="H103" s="248"/>
      <c r="I103" s="11"/>
    </row>
    <row r="104" spans="1:9" x14ac:dyDescent="0.25">
      <c r="C104" s="278"/>
      <c r="D104" s="280"/>
      <c r="G104" s="91"/>
      <c r="H104" s="252"/>
      <c r="I104" s="11"/>
    </row>
    <row r="105" spans="1:9" x14ac:dyDescent="0.25">
      <c r="C105" s="278"/>
      <c r="D105" s="280"/>
      <c r="F105" s="222"/>
      <c r="G105" s="91"/>
      <c r="H105" s="91"/>
      <c r="I105" s="11"/>
    </row>
    <row r="106" spans="1:9" ht="27.75" customHeight="1" x14ac:dyDescent="0.25">
      <c r="B106" s="91"/>
      <c r="C106" s="278"/>
      <c r="D106" s="280"/>
      <c r="E106" s="91"/>
      <c r="F106" s="91"/>
      <c r="G106" s="91"/>
      <c r="H106" s="91"/>
      <c r="I106" s="11"/>
    </row>
    <row r="107" spans="1:9" x14ac:dyDescent="0.25">
      <c r="B107" s="91"/>
      <c r="C107" s="278"/>
      <c r="D107" s="280"/>
      <c r="E107" s="91"/>
      <c r="F107" s="91"/>
      <c r="G107" s="91"/>
      <c r="H107" s="91"/>
      <c r="I107" s="11"/>
    </row>
    <row r="108" spans="1:9" x14ac:dyDescent="0.25">
      <c r="B108" s="91"/>
      <c r="C108" s="278"/>
      <c r="D108" s="91"/>
      <c r="E108" s="91"/>
      <c r="G108" s="91"/>
      <c r="H108" s="91"/>
      <c r="I108" s="11"/>
    </row>
    <row r="109" spans="1:9" x14ac:dyDescent="0.25">
      <c r="B109" s="91"/>
      <c r="D109" s="91"/>
      <c r="E109" s="91"/>
      <c r="H109" s="91"/>
      <c r="I109" s="11"/>
    </row>
    <row r="110" spans="1:9" x14ac:dyDescent="0.25">
      <c r="B110" s="91"/>
      <c r="D110" s="91"/>
      <c r="E110" s="91"/>
      <c r="H110" s="91"/>
      <c r="I110" s="11"/>
    </row>
    <row r="111" spans="1:9" x14ac:dyDescent="0.25">
      <c r="B111" s="91"/>
      <c r="C111" s="91"/>
      <c r="D111" s="91"/>
      <c r="E111" s="91"/>
      <c r="F111" s="91"/>
      <c r="G111" s="91"/>
      <c r="H111" s="91"/>
      <c r="I111" s="11"/>
    </row>
    <row r="112" spans="1:9" x14ac:dyDescent="0.25">
      <c r="A112" s="283">
        <v>1</v>
      </c>
      <c r="B112" s="284" t="s">
        <v>125</v>
      </c>
      <c r="C112" s="285">
        <f>SUM(D46:D50)</f>
        <v>95.491099999999989</v>
      </c>
      <c r="D112" s="286"/>
      <c r="E112" s="287"/>
      <c r="F112" s="91"/>
      <c r="G112" s="91"/>
      <c r="H112" s="91"/>
      <c r="I112" s="11"/>
    </row>
    <row r="113" spans="1:10" ht="42" customHeight="1" x14ac:dyDescent="0.25">
      <c r="A113" s="288">
        <v>2</v>
      </c>
      <c r="B113" s="289" t="s">
        <v>126</v>
      </c>
      <c r="C113" s="290">
        <f>D53</f>
        <v>152.93947301749998</v>
      </c>
      <c r="D113" s="291"/>
      <c r="E113" s="287"/>
      <c r="F113" s="91"/>
      <c r="G113" s="91"/>
      <c r="H113" s="91"/>
      <c r="I113" s="11"/>
    </row>
    <row r="114" spans="1:10" ht="22.5" customHeight="1" x14ac:dyDescent="0.25">
      <c r="A114" s="288">
        <v>3</v>
      </c>
      <c r="B114" s="292" t="s">
        <v>127</v>
      </c>
      <c r="C114" s="290">
        <f>D55</f>
        <v>15.781225000000001</v>
      </c>
      <c r="D114" s="291"/>
      <c r="F114" s="91"/>
      <c r="G114" s="91"/>
      <c r="H114" s="91"/>
      <c r="I114" s="11"/>
    </row>
    <row r="115" spans="1:10" x14ac:dyDescent="0.25">
      <c r="A115" s="288">
        <v>4</v>
      </c>
      <c r="B115" s="292" t="s">
        <v>128</v>
      </c>
      <c r="C115" s="290">
        <f>D58</f>
        <v>42.04852499999997</v>
      </c>
      <c r="D115" s="291"/>
      <c r="F115" s="222"/>
      <c r="G115" s="91"/>
      <c r="H115" s="91"/>
      <c r="I115" s="11"/>
    </row>
    <row r="116" spans="1:10" x14ac:dyDescent="0.25">
      <c r="A116" s="288">
        <v>5</v>
      </c>
      <c r="B116" s="289" t="s">
        <v>129</v>
      </c>
      <c r="C116" s="290">
        <f>D63</f>
        <v>-0.50378628000000347</v>
      </c>
      <c r="D116" s="291"/>
      <c r="F116" s="91"/>
      <c r="G116" s="91"/>
      <c r="H116" s="91"/>
      <c r="I116" s="11"/>
    </row>
    <row r="117" spans="1:10" x14ac:dyDescent="0.2">
      <c r="A117" s="293" t="s">
        <v>130</v>
      </c>
      <c r="B117" s="294" t="s">
        <v>131</v>
      </c>
      <c r="C117" s="295"/>
      <c r="D117" s="296">
        <f>I74</f>
        <v>-6.0543348675000175</v>
      </c>
      <c r="F117" s="287"/>
      <c r="G117" s="287"/>
      <c r="H117" s="287"/>
      <c r="I117" s="11"/>
    </row>
    <row r="118" spans="1:10" x14ac:dyDescent="0.25">
      <c r="A118" s="11"/>
      <c r="D118" s="287"/>
      <c r="F118" s="287"/>
      <c r="G118" s="287"/>
      <c r="H118" s="287"/>
    </row>
    <row r="120" spans="1:10" ht="43.5" x14ac:dyDescent="0.25">
      <c r="A120" s="11"/>
      <c r="B120" s="297" t="s">
        <v>132</v>
      </c>
      <c r="C120" s="298" t="s">
        <v>133</v>
      </c>
      <c r="D120" s="297" t="s">
        <v>134</v>
      </c>
      <c r="E120" s="297" t="s">
        <v>135</v>
      </c>
    </row>
    <row r="121" spans="1:10" x14ac:dyDescent="0.25">
      <c r="A121" s="11"/>
      <c r="B121" s="299">
        <f>D46+D47+D49+D50</f>
        <v>88.07</v>
      </c>
      <c r="C121" s="299">
        <f>$I$73</f>
        <v>323.35000000000002</v>
      </c>
      <c r="D121" s="300">
        <f>$I$79</f>
        <v>1727</v>
      </c>
      <c r="E121" s="299">
        <f>SUM(I58:I63)</f>
        <v>0</v>
      </c>
    </row>
    <row r="122" spans="1:10" x14ac:dyDescent="0.25">
      <c r="A122" s="11"/>
      <c r="J122" s="301"/>
    </row>
    <row r="127" spans="1:10" ht="55.5" customHeight="1" x14ac:dyDescent="0.25">
      <c r="A127" s="11"/>
      <c r="J127" s="302"/>
    </row>
    <row r="128" spans="1:10" x14ac:dyDescent="0.25">
      <c r="A128" s="11"/>
      <c r="J128" s="302"/>
    </row>
    <row r="129" spans="1:10" ht="27.75" customHeight="1" x14ac:dyDescent="0.25">
      <c r="A129" s="11"/>
      <c r="J129" s="302"/>
    </row>
    <row r="130" spans="1:10" x14ac:dyDescent="0.25">
      <c r="A130" s="11"/>
      <c r="F130" s="242"/>
      <c r="J130" s="302"/>
    </row>
    <row r="131" spans="1:10" ht="27.75" customHeight="1" x14ac:dyDescent="0.25">
      <c r="A131" s="11"/>
      <c r="J131" s="302"/>
    </row>
    <row r="132" spans="1:10" x14ac:dyDescent="0.25">
      <c r="A132" s="11"/>
      <c r="J132" s="91"/>
    </row>
    <row r="134" spans="1:10" x14ac:dyDescent="0.25">
      <c r="A134" s="11"/>
      <c r="E134" s="303"/>
    </row>
    <row r="137" spans="1:10" x14ac:dyDescent="0.25">
      <c r="A137" s="11"/>
      <c r="I137" s="272"/>
    </row>
    <row r="139" spans="1:10" x14ac:dyDescent="0.25">
      <c r="A139" s="11"/>
      <c r="E139" s="303"/>
      <c r="F139" s="304"/>
      <c r="G139" s="304"/>
      <c r="H139" s="304"/>
    </row>
    <row r="140" spans="1:10" x14ac:dyDescent="0.25">
      <c r="A140" s="11"/>
      <c r="E140" s="303"/>
    </row>
    <row r="141" spans="1:10" x14ac:dyDescent="0.25">
      <c r="A141" s="11"/>
      <c r="E141" s="303"/>
    </row>
    <row r="142" spans="1:10" ht="14.25" x14ac:dyDescent="0.2">
      <c r="A142" s="11"/>
      <c r="I142" s="305"/>
    </row>
    <row r="143" spans="1:10" ht="14.25" x14ac:dyDescent="0.2">
      <c r="A143" s="11"/>
      <c r="I143" s="305"/>
    </row>
    <row r="144" spans="1:10" ht="14.25" x14ac:dyDescent="0.2">
      <c r="A144" s="11"/>
      <c r="F144" s="304"/>
      <c r="G144" s="304"/>
      <c r="H144" s="304"/>
      <c r="I144" s="305"/>
    </row>
    <row r="145" spans="1:9" ht="14.25" x14ac:dyDescent="0.2">
      <c r="A145" s="11"/>
      <c r="F145" s="304"/>
      <c r="G145" s="304"/>
      <c r="H145" s="304"/>
      <c r="I145" s="305"/>
    </row>
    <row r="146" spans="1:9" x14ac:dyDescent="0.25">
      <c r="A146" s="11"/>
      <c r="F146" s="91"/>
      <c r="G146" s="91"/>
      <c r="H146" s="304"/>
      <c r="I146" s="305"/>
    </row>
    <row r="147" spans="1:9" x14ac:dyDescent="0.25">
      <c r="A147" s="11"/>
      <c r="F147" s="91"/>
      <c r="G147" s="91"/>
      <c r="H147" s="91"/>
    </row>
    <row r="148" spans="1:9" x14ac:dyDescent="0.25">
      <c r="A148" s="11"/>
      <c r="F148" s="91"/>
      <c r="G148" s="91"/>
      <c r="H148" s="91"/>
    </row>
    <row r="149" spans="1:9" x14ac:dyDescent="0.25">
      <c r="A149" s="11"/>
      <c r="F149" s="91"/>
      <c r="G149" s="91"/>
      <c r="H149" s="91"/>
    </row>
    <row r="150" spans="1:9" ht="14.25" x14ac:dyDescent="0.2">
      <c r="A150" s="11"/>
      <c r="F150" s="242"/>
      <c r="I150" s="11"/>
    </row>
    <row r="155" spans="1:9" ht="14.25" x14ac:dyDescent="0.2">
      <c r="A155" s="11"/>
      <c r="F155" s="242"/>
      <c r="I155" s="11"/>
    </row>
    <row r="158" spans="1:9" ht="14.25" x14ac:dyDescent="0.2">
      <c r="A158" s="11"/>
      <c r="F158" s="242"/>
      <c r="I158" s="11"/>
    </row>
  </sheetData>
  <mergeCells count="88">
    <mergeCell ref="F84:H84"/>
    <mergeCell ref="F76:H76"/>
    <mergeCell ref="F77:H77"/>
    <mergeCell ref="F78:H78"/>
    <mergeCell ref="F79:H79"/>
    <mergeCell ref="F80:H80"/>
    <mergeCell ref="E81:E83"/>
    <mergeCell ref="F81:F83"/>
    <mergeCell ref="G81:H81"/>
    <mergeCell ref="G82:H82"/>
    <mergeCell ref="G83:H83"/>
    <mergeCell ref="K70:S70"/>
    <mergeCell ref="F71:G71"/>
    <mergeCell ref="F72:H72"/>
    <mergeCell ref="F73:H73"/>
    <mergeCell ref="F74:H74"/>
    <mergeCell ref="F75:H75"/>
    <mergeCell ref="F65:G65"/>
    <mergeCell ref="F66:G66"/>
    <mergeCell ref="F67:G67"/>
    <mergeCell ref="F68:G68"/>
    <mergeCell ref="F69:G69"/>
    <mergeCell ref="F70:G70"/>
    <mergeCell ref="B61:C61"/>
    <mergeCell ref="F61:G61"/>
    <mergeCell ref="F62:G62"/>
    <mergeCell ref="B63:C63"/>
    <mergeCell ref="F63:G63"/>
    <mergeCell ref="B64:C64"/>
    <mergeCell ref="F64:G64"/>
    <mergeCell ref="B58:C58"/>
    <mergeCell ref="E58:E60"/>
    <mergeCell ref="F58:G58"/>
    <mergeCell ref="B59:C59"/>
    <mergeCell ref="F59:G59"/>
    <mergeCell ref="B60:C60"/>
    <mergeCell ref="F60:G60"/>
    <mergeCell ref="B55:C55"/>
    <mergeCell ref="F55:G55"/>
    <mergeCell ref="B56:C56"/>
    <mergeCell ref="F56:G56"/>
    <mergeCell ref="B57:C57"/>
    <mergeCell ref="F57:G57"/>
    <mergeCell ref="G51:H51"/>
    <mergeCell ref="F52:G52"/>
    <mergeCell ref="B53:C53"/>
    <mergeCell ref="F53:G53"/>
    <mergeCell ref="B54:C54"/>
    <mergeCell ref="F54:G54"/>
    <mergeCell ref="G38:G39"/>
    <mergeCell ref="H38:H39"/>
    <mergeCell ref="I39:I43"/>
    <mergeCell ref="B46:C46"/>
    <mergeCell ref="F46:G46"/>
    <mergeCell ref="B47:C47"/>
    <mergeCell ref="E47:E51"/>
    <mergeCell ref="F47:F51"/>
    <mergeCell ref="B50:C50"/>
    <mergeCell ref="G50:H50"/>
    <mergeCell ref="A38:A39"/>
    <mergeCell ref="B38:B39"/>
    <mergeCell ref="C38:C39"/>
    <mergeCell ref="D38:D39"/>
    <mergeCell ref="E38:E39"/>
    <mergeCell ref="F38:F39"/>
    <mergeCell ref="H16:H18"/>
    <mergeCell ref="I17:I18"/>
    <mergeCell ref="G34:G35"/>
    <mergeCell ref="I34:I35"/>
    <mergeCell ref="A35:A37"/>
    <mergeCell ref="C36:C37"/>
    <mergeCell ref="H36:H37"/>
    <mergeCell ref="A12:A14"/>
    <mergeCell ref="B13:I14"/>
    <mergeCell ref="F15:I15"/>
    <mergeCell ref="A16:A18"/>
    <mergeCell ref="B16:B18"/>
    <mergeCell ref="C16:C18"/>
    <mergeCell ref="D16:D18"/>
    <mergeCell ref="E16:E18"/>
    <mergeCell ref="F16:F18"/>
    <mergeCell ref="G16:G18"/>
    <mergeCell ref="B2:J2"/>
    <mergeCell ref="B3:J3"/>
    <mergeCell ref="B4:J4"/>
    <mergeCell ref="C5:G5"/>
    <mergeCell ref="B9:D9"/>
    <mergeCell ref="D11:E11"/>
  </mergeCells>
  <printOptions horizontalCentered="1"/>
  <pageMargins left="0" right="0" top="0.15748031496062992" bottom="0" header="0" footer="0"/>
  <pageSetup paperSize="9" scale="36" orientation="portrait" r:id="rId1"/>
  <headerFooter scaleWithDoc="0" alignWithMargins="0">
    <firstHeader>&amp;C
&amp;G</firstHeader>
  </headerFooter>
  <drawing r:id="rId2"/>
  <legacyDrawing r:id="rId3"/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4</vt:i4>
      </vt:variant>
    </vt:vector>
  </HeadingPairs>
  <TitlesOfParts>
    <vt:vector size="5" baseType="lpstr">
      <vt:lpstr>Report_DPS (HPSLDC)</vt:lpstr>
      <vt:lpstr>'Report_DPS (HPSLDC)'!_A9</vt:lpstr>
      <vt:lpstr>'Report_DPS (HPSLDC)'!_S3</vt:lpstr>
      <vt:lpstr>'Report_DPS (HPSLDC)'!a</vt:lpstr>
      <vt:lpstr>'Report_DPS (HPSLDC)'!Print_Area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2024-04-24T19:49:12Z</dcterms:created>
  <dcterms:modified xsi:type="dcterms:W3CDTF">2024-04-24T19:49:19Z</dcterms:modified>
</cp:coreProperties>
</file>