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PrSec_Report (hpsldc) (FInal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'PrSec_Report (hpsldc) (FInal)'!$A$1:$G$28</definedName>
  </definedNames>
  <calcPr calcId="125725"/>
</workbook>
</file>

<file path=xl/calcChain.xml><?xml version="1.0" encoding="utf-8"?>
<calcChain xmlns="http://schemas.openxmlformats.org/spreadsheetml/2006/main">
  <c r="K27" i="1"/>
  <c r="C26" s="1"/>
  <c r="C27"/>
  <c r="C25"/>
  <c r="C24"/>
  <c r="L23"/>
  <c r="F21" s="1"/>
  <c r="C23"/>
  <c r="L22"/>
  <c r="G21"/>
  <c r="L20"/>
  <c r="G20"/>
  <c r="F20"/>
  <c r="C20"/>
  <c r="N19"/>
  <c r="G22" s="1"/>
  <c r="L19"/>
  <c r="C22" s="1"/>
  <c r="G19"/>
  <c r="F19"/>
  <c r="C19"/>
  <c r="C18"/>
  <c r="C15"/>
  <c r="C14"/>
  <c r="L13"/>
  <c r="C13"/>
  <c r="C12"/>
  <c r="L11"/>
  <c r="I11" s="1"/>
  <c r="G11"/>
  <c r="C11"/>
  <c r="L10"/>
  <c r="G12" s="1"/>
  <c r="C10"/>
  <c r="I9"/>
  <c r="G9"/>
  <c r="G8"/>
  <c r="I7"/>
  <c r="G7"/>
  <c r="C7"/>
  <c r="L6"/>
  <c r="K6"/>
  <c r="I6"/>
  <c r="G6"/>
  <c r="C6"/>
  <c r="S5"/>
  <c r="R5"/>
  <c r="L5"/>
  <c r="K5"/>
  <c r="C5"/>
  <c r="S4"/>
  <c r="R4"/>
  <c r="L4"/>
  <c r="G23" s="1"/>
  <c r="C4"/>
  <c r="S3"/>
  <c r="R3"/>
  <c r="A3"/>
  <c r="E3" s="1"/>
  <c r="I12" l="1"/>
  <c r="G18"/>
  <c r="K30"/>
  <c r="C28"/>
  <c r="I10"/>
  <c r="G10"/>
</calcChain>
</file>

<file path=xl/sharedStrings.xml><?xml version="1.0" encoding="utf-8"?>
<sst xmlns="http://schemas.openxmlformats.org/spreadsheetml/2006/main" count="74" uniqueCount="65">
  <si>
    <t>Annexure A</t>
  </si>
  <si>
    <t>Annexure B</t>
  </si>
  <si>
    <t xml:space="preserve"> HPSLDC - DAILY POWER SUPPLY (Real Time)</t>
  </si>
  <si>
    <t>HPSLDC - DAILY POWER SUPPLY (Real Time)</t>
  </si>
  <si>
    <t>https://dsm.nldc.in/</t>
  </si>
  <si>
    <t>N1</t>
  </si>
  <si>
    <t>HPSEBL IEX(sale)</t>
  </si>
  <si>
    <t>1</t>
  </si>
  <si>
    <t>Availability with HP (i)+(ii)</t>
  </si>
  <si>
    <t>Average IEX Rate</t>
  </si>
  <si>
    <t>URS BOKED</t>
  </si>
  <si>
    <t>(i)</t>
  </si>
  <si>
    <t xml:space="preserve">
[HPSEBL {(Own Gen.+ C.S. Share + GoHP Equity) +GoHP (C.S.+ IPP)Share}]</t>
  </si>
  <si>
    <t>1.</t>
  </si>
  <si>
    <t>HPSEBL-Additional Purchase(-)/Sale(+) (Amount)</t>
  </si>
  <si>
    <t>HPSEBL IEX (purcahase)</t>
  </si>
  <si>
    <t>(ii)</t>
  </si>
  <si>
    <t>Import  by HPSEBL 
(Banking + IEX  Purchase+ URS+ OA Purchase)</t>
  </si>
  <si>
    <t xml:space="preserve">i)  RTM IEX Purchase </t>
  </si>
  <si>
    <t>2</t>
  </si>
  <si>
    <t>Total Export (iii) + (iv)</t>
  </si>
  <si>
    <t>ii) URS Booked</t>
  </si>
  <si>
    <t>iii) IEX Purchase</t>
  </si>
  <si>
    <t>(iii)</t>
  </si>
  <si>
    <t>HPSEBL</t>
  </si>
  <si>
    <t xml:space="preserve">iv) IEX Sale </t>
  </si>
  <si>
    <t>a) IEX Sale</t>
  </si>
  <si>
    <t>v) RE Sale</t>
  </si>
  <si>
    <t>RE SALE</t>
  </si>
  <si>
    <t>@</t>
  </si>
  <si>
    <t>b) RTM Sale</t>
  </si>
  <si>
    <t>(vi) RTM SALE</t>
  </si>
  <si>
    <t xml:space="preserve">HPSEBL RTM SALE </t>
  </si>
  <si>
    <t xml:space="preserve">c) RE Sale </t>
  </si>
  <si>
    <t xml:space="preserve">Net Additional Sale(+)/Purchase(-)                   (iv+v+vi)-(i+ii+iii)                        </t>
  </si>
  <si>
    <t>OA CONSUMER</t>
  </si>
  <si>
    <t xml:space="preserve">d) Banking </t>
  </si>
  <si>
    <t>HPSEBL RTM IEX P</t>
  </si>
  <si>
    <t xml:space="preserve">e)DA Banking </t>
  </si>
  <si>
    <t xml:space="preserve">Total </t>
  </si>
  <si>
    <t>(iv)</t>
  </si>
  <si>
    <t>GoHP</t>
  </si>
  <si>
    <t>2.</t>
  </si>
  <si>
    <t>GOHP-Additional Purchase(-)/Sale(+) (Amount)</t>
  </si>
  <si>
    <t>i) IEX Sale</t>
  </si>
  <si>
    <t xml:space="preserve">b) Sale to other States </t>
  </si>
  <si>
    <t>GoHP IEX Sale</t>
  </si>
  <si>
    <t>c) RTM IEX Sale</t>
  </si>
  <si>
    <t>Other States</t>
  </si>
  <si>
    <t>Total</t>
  </si>
  <si>
    <t>Net Additional  Sale(+)/Purchase(-) 
(i+ii+iii)-(vi)</t>
  </si>
  <si>
    <t>GoHP RTM IEX SALE</t>
  </si>
  <si>
    <t>3</t>
  </si>
  <si>
    <t>Net Availability in HP State (1-2)</t>
  </si>
  <si>
    <t>GoHP RTM IEX PURCHASE</t>
  </si>
  <si>
    <t>Demand of the State  (v+vi)</t>
  </si>
  <si>
    <t>v)</t>
  </si>
  <si>
    <t>Industrial Demand</t>
  </si>
  <si>
    <t>Weather</t>
  </si>
  <si>
    <t>vi)</t>
  </si>
  <si>
    <t xml:space="preserve">Domestic &amp; other Demand </t>
  </si>
  <si>
    <t>14.139.247.11</t>
  </si>
  <si>
    <t>5</t>
  </si>
  <si>
    <t xml:space="preserve"> OD(-)/  UD(+)  (3-4) </t>
  </si>
  <si>
    <t xml:space="preserve">NO LOAD SHEDDING IN THE STATE ON: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</si>
</sst>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14009]dd/mm/yyyy;@"/>
    <numFmt numFmtId="165" formatCode="0.0"/>
    <numFmt numFmtId="166" formatCode="dd\.mm\.yyyy;@"/>
    <numFmt numFmtId="167" formatCode="_(&quot;$&quot;* #,##0.00_);_(&quot;$&quot;* \(#,##0.00\);_(&quot;$&quot;* &quot;-&quot;??_);_(@_)"/>
  </numFmts>
  <fonts count="46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.5"/>
      <color theme="1"/>
      <name val="Arial Narrow"/>
      <family val="2"/>
    </font>
    <font>
      <sz val="11"/>
      <color theme="0" tint="-0.1499984740745262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theme="9" tint="-0.249977111117893"/>
      <name val="Arial"/>
      <family val="2"/>
    </font>
    <font>
      <b/>
      <i/>
      <sz val="12"/>
      <color theme="9" tint="-0.249977111117893"/>
      <name val="Arial"/>
      <family val="2"/>
    </font>
    <font>
      <b/>
      <i/>
      <sz val="12"/>
      <color theme="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theme="1"/>
      <name val="Corbe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22">
    <xf numFmtId="0" fontId="0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5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5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0" fontId="18" fillId="0" borderId="10" xfId="1" applyFont="1" applyBorder="1" applyAlignment="1">
      <alignment horizontal="right"/>
    </xf>
    <xf numFmtId="0" fontId="18" fillId="0" borderId="11" xfId="1" applyFont="1" applyBorder="1" applyAlignment="1">
      <alignment horizontal="right"/>
    </xf>
    <xf numFmtId="0" fontId="18" fillId="0" borderId="12" xfId="1" applyFont="1" applyBorder="1" applyAlignment="1">
      <alignment horizontal="right"/>
    </xf>
    <xf numFmtId="0" fontId="19" fillId="0" borderId="13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7" fillId="0" borderId="0" xfId="1"/>
    <xf numFmtId="164" fontId="20" fillId="33" borderId="14" xfId="1" applyNumberFormat="1" applyFont="1" applyFill="1" applyBorder="1" applyAlignment="1">
      <alignment horizontal="center" vertical="center"/>
    </xf>
    <xf numFmtId="164" fontId="20" fillId="33" borderId="0" xfId="1" applyNumberFormat="1" applyFont="1" applyFill="1" applyBorder="1" applyAlignment="1">
      <alignment horizontal="center" vertical="center"/>
    </xf>
    <xf numFmtId="164" fontId="20" fillId="33" borderId="15" xfId="1" applyNumberFormat="1" applyFont="1" applyFill="1" applyBorder="1" applyAlignment="1">
      <alignment horizontal="center" vertical="center"/>
    </xf>
    <xf numFmtId="0" fontId="19" fillId="0" borderId="16" xfId="1" applyFont="1" applyBorder="1" applyAlignment="1">
      <alignment horizontal="center"/>
    </xf>
    <xf numFmtId="0" fontId="20" fillId="33" borderId="17" xfId="1" applyFont="1" applyFill="1" applyBorder="1" applyAlignment="1">
      <alignment horizontal="center" vertical="center"/>
    </xf>
    <xf numFmtId="0" fontId="20" fillId="33" borderId="18" xfId="1" applyFont="1" applyFill="1" applyBorder="1" applyAlignment="1">
      <alignment horizontal="center" vertical="center"/>
    </xf>
    <xf numFmtId="0" fontId="20" fillId="33" borderId="19" xfId="1" applyFont="1" applyFill="1" applyBorder="1" applyAlignment="1">
      <alignment horizontal="center" vertical="center"/>
    </xf>
    <xf numFmtId="0" fontId="17" fillId="33" borderId="0" xfId="1" applyFill="1" applyBorder="1"/>
    <xf numFmtId="0" fontId="17" fillId="33" borderId="0" xfId="1" applyFill="1"/>
    <xf numFmtId="0" fontId="21" fillId="33" borderId="20" xfId="2" applyFill="1" applyBorder="1" applyAlignment="1" applyProtection="1"/>
    <xf numFmtId="0" fontId="17" fillId="33" borderId="20" xfId="1" applyFill="1" applyBorder="1"/>
    <xf numFmtId="2" fontId="22" fillId="33" borderId="0" xfId="3" applyNumberFormat="1" applyFill="1" applyAlignment="1" applyProtection="1"/>
    <xf numFmtId="0" fontId="17" fillId="33" borderId="21" xfId="1" applyFill="1" applyBorder="1" applyAlignment="1">
      <alignment horizontal="center" vertical="center"/>
    </xf>
    <xf numFmtId="0" fontId="17" fillId="33" borderId="22" xfId="1" applyFill="1" applyBorder="1" applyAlignment="1">
      <alignment horizontal="center" vertical="center"/>
    </xf>
    <xf numFmtId="0" fontId="17" fillId="33" borderId="23" xfId="1" applyFill="1" applyBorder="1" applyAlignment="1">
      <alignment horizontal="center" vertical="center"/>
    </xf>
    <xf numFmtId="49" fontId="20" fillId="34" borderId="14" xfId="1" applyNumberFormat="1" applyFont="1" applyFill="1" applyBorder="1" applyAlignment="1">
      <alignment horizontal="center" vertical="top"/>
    </xf>
    <xf numFmtId="0" fontId="15" fillId="34" borderId="0" xfId="1" applyFont="1" applyFill="1" applyBorder="1" applyAlignment="1">
      <alignment vertical="top" wrapText="1"/>
    </xf>
    <xf numFmtId="2" fontId="23" fillId="34" borderId="15" xfId="1" applyNumberFormat="1" applyFont="1" applyFill="1" applyBorder="1" applyAlignment="1">
      <alignment horizontal="right" vertical="top"/>
    </xf>
    <xf numFmtId="0" fontId="17" fillId="0" borderId="14" xfId="1" applyBorder="1" applyAlignment="1">
      <alignment horizontal="center"/>
    </xf>
    <xf numFmtId="0" fontId="17" fillId="0" borderId="0" xfId="1" applyBorder="1" applyAlignment="1">
      <alignment horizontal="center"/>
    </xf>
    <xf numFmtId="0" fontId="17" fillId="0" borderId="15" xfId="1" applyBorder="1" applyAlignment="1">
      <alignment horizontal="center"/>
    </xf>
    <xf numFmtId="0" fontId="17" fillId="35" borderId="0" xfId="1" applyFill="1" applyBorder="1"/>
    <xf numFmtId="0" fontId="17" fillId="0" borderId="20" xfId="1" applyFont="1" applyBorder="1" applyAlignment="1">
      <alignment horizontal="right"/>
    </xf>
    <xf numFmtId="2" fontId="17" fillId="0" borderId="20" xfId="1" applyNumberFormat="1" applyBorder="1"/>
    <xf numFmtId="2" fontId="22" fillId="0" borderId="0" xfId="3" applyNumberFormat="1" applyAlignment="1" applyProtection="1"/>
    <xf numFmtId="0" fontId="17" fillId="0" borderId="21" xfId="1" applyBorder="1" applyAlignment="1">
      <alignment horizontal="center"/>
    </xf>
    <xf numFmtId="0" fontId="17" fillId="0" borderId="22" xfId="1" applyBorder="1" applyAlignment="1">
      <alignment horizontal="center" vertical="center"/>
    </xf>
    <xf numFmtId="0" fontId="17" fillId="0" borderId="23" xfId="1" applyBorder="1" applyAlignment="1">
      <alignment horizontal="center" vertical="center"/>
    </xf>
    <xf numFmtId="49" fontId="24" fillId="0" borderId="14" xfId="1" applyNumberFormat="1" applyFont="1" applyFill="1" applyBorder="1" applyAlignment="1">
      <alignment horizontal="right" vertical="center"/>
    </xf>
    <xf numFmtId="0" fontId="24" fillId="0" borderId="0" xfId="1" applyFont="1" applyFill="1" applyBorder="1" applyAlignment="1">
      <alignment vertical="top" wrapText="1"/>
    </xf>
    <xf numFmtId="2" fontId="24" fillId="0" borderId="15" xfId="1" applyNumberFormat="1" applyFont="1" applyFill="1" applyBorder="1" applyAlignment="1">
      <alignment horizontal="right"/>
    </xf>
    <xf numFmtId="49" fontId="23" fillId="34" borderId="14" xfId="1" applyNumberFormat="1" applyFont="1" applyFill="1" applyBorder="1" applyAlignment="1">
      <alignment horizontal="center" vertical="top"/>
    </xf>
    <xf numFmtId="0" fontId="15" fillId="34" borderId="0" xfId="1" applyFont="1" applyFill="1" applyBorder="1" applyAlignment="1">
      <alignment horizontal="left" vertical="top"/>
    </xf>
    <xf numFmtId="0" fontId="15" fillId="34" borderId="15" xfId="1" applyFont="1" applyFill="1" applyBorder="1" applyAlignment="1">
      <alignment horizontal="left" vertical="top"/>
    </xf>
    <xf numFmtId="2" fontId="17" fillId="0" borderId="20" xfId="1" applyNumberFormat="1" applyBorder="1" applyProtection="1">
      <protection locked="0"/>
    </xf>
    <xf numFmtId="2" fontId="17" fillId="0" borderId="0" xfId="1" applyNumberFormat="1" applyBorder="1" applyAlignment="1">
      <alignment horizontal="center"/>
    </xf>
    <xf numFmtId="0" fontId="17" fillId="0" borderId="24" xfId="1" applyBorder="1" applyAlignment="1">
      <alignment horizontal="center" vertical="center"/>
    </xf>
    <xf numFmtId="2" fontId="17" fillId="0" borderId="25" xfId="1" applyNumberFormat="1" applyBorder="1" applyAlignment="1">
      <alignment horizontal="center" vertical="center"/>
    </xf>
    <xf numFmtId="2" fontId="17" fillId="0" borderId="21" xfId="1" applyNumberFormat="1" applyBorder="1" applyAlignment="1">
      <alignment horizontal="center" vertical="center"/>
    </xf>
    <xf numFmtId="49" fontId="24" fillId="0" borderId="14" xfId="1" applyNumberFormat="1" applyFont="1" applyFill="1" applyBorder="1" applyAlignment="1">
      <alignment horizontal="right" vertical="top"/>
    </xf>
    <xf numFmtId="2" fontId="24" fillId="0" borderId="15" xfId="1" applyNumberFormat="1" applyFont="1" applyFill="1" applyBorder="1" applyAlignment="1">
      <alignment horizontal="right" wrapText="1"/>
    </xf>
    <xf numFmtId="49" fontId="2" fillId="35" borderId="14" xfId="1" applyNumberFormat="1" applyFont="1" applyFill="1" applyBorder="1" applyAlignment="1">
      <alignment horizontal="center" vertical="top"/>
    </xf>
    <xf numFmtId="0" fontId="25" fillId="35" borderId="0" xfId="1" applyFont="1" applyFill="1" applyBorder="1" applyAlignment="1">
      <alignment horizontal="left" vertical="top"/>
    </xf>
    <xf numFmtId="2" fontId="25" fillId="35" borderId="15" xfId="1" applyNumberFormat="1" applyFont="1" applyFill="1" applyBorder="1" applyAlignment="1">
      <alignment horizontal="left" vertical="top"/>
    </xf>
    <xf numFmtId="0" fontId="26" fillId="35" borderId="0" xfId="1" applyFont="1" applyFill="1" applyBorder="1"/>
    <xf numFmtId="2" fontId="22" fillId="0" borderId="0" xfId="3" applyNumberFormat="1" applyBorder="1" applyAlignment="1" applyProtection="1"/>
    <xf numFmtId="2" fontId="17" fillId="0" borderId="0" xfId="1" applyNumberFormat="1" applyBorder="1" applyAlignment="1"/>
    <xf numFmtId="2" fontId="17" fillId="0" borderId="0" xfId="1" applyNumberFormat="1" applyBorder="1"/>
    <xf numFmtId="0" fontId="17" fillId="0" borderId="0" xfId="1" applyBorder="1"/>
    <xf numFmtId="49" fontId="24" fillId="36" borderId="14" xfId="1" applyNumberFormat="1" applyFont="1" applyFill="1" applyBorder="1" applyAlignment="1">
      <alignment horizontal="right" vertical="top"/>
    </xf>
    <xf numFmtId="0" fontId="24" fillId="36" borderId="0" xfId="1" applyFont="1" applyFill="1" applyBorder="1" applyAlignment="1">
      <alignment horizontal="left" vertical="top" wrapText="1"/>
    </xf>
    <xf numFmtId="2" fontId="24" fillId="36" borderId="15" xfId="1" applyNumberFormat="1" applyFont="1" applyFill="1" applyBorder="1" applyAlignment="1">
      <alignment horizontal="right" vertical="top"/>
    </xf>
    <xf numFmtId="0" fontId="26" fillId="35" borderId="0" xfId="1" applyFont="1" applyFill="1" applyBorder="1" applyAlignment="1">
      <alignment vertical="top"/>
    </xf>
    <xf numFmtId="0" fontId="17" fillId="0" borderId="0" xfId="1" applyAlignment="1">
      <alignment vertical="top"/>
    </xf>
    <xf numFmtId="49" fontId="27" fillId="0" borderId="14" xfId="1" applyNumberFormat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left" vertical="top" wrapText="1"/>
    </xf>
    <xf numFmtId="2" fontId="24" fillId="0" borderId="15" xfId="1" applyNumberFormat="1" applyFont="1" applyFill="1" applyBorder="1" applyAlignment="1">
      <alignment horizontal="right" vertical="top"/>
    </xf>
    <xf numFmtId="0" fontId="25" fillId="0" borderId="0" xfId="1" applyFont="1" applyFill="1" applyBorder="1" applyAlignment="1">
      <alignment horizontal="left" vertical="top"/>
    </xf>
    <xf numFmtId="2" fontId="25" fillId="0" borderId="15" xfId="1" applyNumberFormat="1" applyFont="1" applyFill="1" applyBorder="1" applyAlignment="1">
      <alignment horizontal="left" vertical="top"/>
    </xf>
    <xf numFmtId="0" fontId="26" fillId="0" borderId="0" xfId="1" applyFont="1" applyFill="1" applyBorder="1" applyAlignment="1">
      <alignment vertical="top"/>
    </xf>
    <xf numFmtId="0" fontId="17" fillId="0" borderId="0" xfId="1" applyFill="1" applyAlignment="1">
      <alignment vertical="top"/>
    </xf>
    <xf numFmtId="0" fontId="28" fillId="0" borderId="20" xfId="1" applyFont="1" applyFill="1" applyBorder="1"/>
    <xf numFmtId="2" fontId="28" fillId="0" borderId="20" xfId="1" applyNumberFormat="1" applyFont="1" applyFill="1" applyBorder="1"/>
    <xf numFmtId="2" fontId="29" fillId="0" borderId="20" xfId="1" applyNumberFormat="1" applyFont="1" applyFill="1" applyBorder="1" applyAlignment="1" applyProtection="1">
      <alignment horizontal="left"/>
      <protection locked="0"/>
    </xf>
    <xf numFmtId="0" fontId="17" fillId="0" borderId="0" xfId="1" applyFill="1"/>
    <xf numFmtId="0" fontId="30" fillId="0" borderId="20" xfId="1" applyFont="1" applyFill="1" applyBorder="1"/>
    <xf numFmtId="2" fontId="28" fillId="0" borderId="20" xfId="1" applyNumberFormat="1" applyFont="1" applyFill="1" applyBorder="1" applyProtection="1">
      <protection locked="0"/>
    </xf>
    <xf numFmtId="0" fontId="31" fillId="0" borderId="0" xfId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left" vertical="center"/>
    </xf>
    <xf numFmtId="0" fontId="17" fillId="0" borderId="20" xfId="1" applyFill="1" applyBorder="1"/>
    <xf numFmtId="2" fontId="22" fillId="0" borderId="20" xfId="3" applyNumberFormat="1" applyFill="1" applyBorder="1" applyAlignment="1" applyProtection="1"/>
    <xf numFmtId="49" fontId="1" fillId="35" borderId="14" xfId="1" applyNumberFormat="1" applyFont="1" applyFill="1" applyBorder="1" applyAlignment="1">
      <alignment horizontal="center" vertical="top"/>
    </xf>
    <xf numFmtId="0" fontId="17" fillId="0" borderId="0" xfId="1" applyFill="1" applyBorder="1" applyAlignment="1">
      <alignment vertical="top"/>
    </xf>
    <xf numFmtId="2" fontId="17" fillId="0" borderId="20" xfId="1" applyNumberFormat="1" applyFill="1" applyBorder="1"/>
    <xf numFmtId="0" fontId="24" fillId="0" borderId="0" xfId="1" applyFont="1" applyFill="1" applyBorder="1" applyAlignment="1">
      <alignment horizontal="left" vertical="center" wrapText="1"/>
    </xf>
    <xf numFmtId="2" fontId="22" fillId="0" borderId="0" xfId="3" applyNumberFormat="1" applyFill="1" applyAlignment="1" applyProtection="1"/>
    <xf numFmtId="0" fontId="24" fillId="0" borderId="0" xfId="1" applyFont="1" applyFill="1" applyBorder="1" applyAlignment="1">
      <alignment horizontal="right" vertical="top" wrapText="1"/>
    </xf>
    <xf numFmtId="0" fontId="33" fillId="0" borderId="0" xfId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/>
    </xf>
    <xf numFmtId="49" fontId="24" fillId="37" borderId="14" xfId="1" applyNumberFormat="1" applyFont="1" applyFill="1" applyBorder="1" applyAlignment="1">
      <alignment horizontal="right" vertical="top"/>
    </xf>
    <xf numFmtId="0" fontId="24" fillId="37" borderId="0" xfId="1" applyFont="1" applyFill="1" applyBorder="1" applyAlignment="1">
      <alignment horizontal="left" vertical="top" wrapText="1"/>
    </xf>
    <xf numFmtId="0" fontId="24" fillId="37" borderId="15" xfId="1" applyFont="1" applyFill="1" applyBorder="1" applyAlignment="1">
      <alignment horizontal="right" vertical="top" wrapText="1"/>
    </xf>
    <xf numFmtId="49" fontId="15" fillId="34" borderId="14" xfId="1" applyNumberFormat="1" applyFont="1" applyFill="1" applyBorder="1" applyAlignment="1">
      <alignment horizontal="center" vertical="top"/>
    </xf>
    <xf numFmtId="0" fontId="31" fillId="34" borderId="0" xfId="1" applyFont="1" applyFill="1" applyBorder="1" applyAlignment="1">
      <alignment horizontal="left" vertical="top"/>
    </xf>
    <xf numFmtId="0" fontId="31" fillId="34" borderId="15" xfId="1" applyFont="1" applyFill="1" applyBorder="1" applyAlignment="1">
      <alignment horizontal="left" vertical="top"/>
    </xf>
    <xf numFmtId="0" fontId="17" fillId="35" borderId="0" xfId="1" applyFill="1" applyBorder="1" applyAlignment="1">
      <alignment vertical="top"/>
    </xf>
    <xf numFmtId="0" fontId="24" fillId="0" borderId="15" xfId="1" applyFont="1" applyFill="1" applyBorder="1" applyAlignment="1">
      <alignment horizontal="right" vertical="top" wrapText="1"/>
    </xf>
    <xf numFmtId="49" fontId="15" fillId="35" borderId="14" xfId="1" applyNumberFormat="1" applyFont="1" applyFill="1" applyBorder="1" applyAlignment="1">
      <alignment horizontal="center" vertical="top"/>
    </xf>
    <xf numFmtId="0" fontId="31" fillId="0" borderId="0" xfId="1" applyFont="1" applyFill="1" applyBorder="1" applyAlignment="1">
      <alignment horizontal="left" vertical="top"/>
    </xf>
    <xf numFmtId="2" fontId="31" fillId="0" borderId="15" xfId="1" applyNumberFormat="1" applyFont="1" applyFill="1" applyBorder="1" applyAlignment="1">
      <alignment horizontal="left" vertical="top"/>
    </xf>
    <xf numFmtId="0" fontId="24" fillId="0" borderId="0" xfId="1" applyFont="1" applyFill="1" applyBorder="1" applyAlignment="1">
      <alignment horizontal="left" vertical="top"/>
    </xf>
    <xf numFmtId="2" fontId="24" fillId="0" borderId="15" xfId="1" applyNumberFormat="1" applyFont="1" applyFill="1" applyBorder="1" applyAlignment="1">
      <alignment horizontal="left" vertical="top"/>
    </xf>
    <xf numFmtId="0" fontId="17" fillId="0" borderId="0" xfId="1" applyFill="1" applyBorder="1"/>
    <xf numFmtId="2" fontId="28" fillId="0" borderId="0" xfId="1" applyNumberFormat="1" applyFont="1" applyFill="1" applyBorder="1"/>
    <xf numFmtId="0" fontId="28" fillId="0" borderId="0" xfId="1" applyFont="1" applyFill="1" applyBorder="1"/>
    <xf numFmtId="2" fontId="22" fillId="0" borderId="0" xfId="3" applyNumberFormat="1" applyFill="1" applyBorder="1" applyAlignment="1" applyProtection="1"/>
    <xf numFmtId="2" fontId="24" fillId="0" borderId="15" xfId="1" applyNumberFormat="1" applyFont="1" applyFill="1" applyBorder="1" applyAlignment="1">
      <alignment vertical="top"/>
    </xf>
    <xf numFmtId="2" fontId="28" fillId="0" borderId="20" xfId="1" applyNumberFormat="1" applyFont="1" applyFill="1" applyBorder="1" applyAlignment="1" applyProtection="1">
      <alignment horizontal="left"/>
      <protection locked="0"/>
    </xf>
    <xf numFmtId="0" fontId="24" fillId="0" borderId="15" xfId="1" applyFont="1" applyFill="1" applyBorder="1" applyAlignment="1">
      <alignment vertical="top"/>
    </xf>
    <xf numFmtId="0" fontId="28" fillId="0" borderId="20" xfId="1" applyFont="1" applyBorder="1"/>
    <xf numFmtId="0" fontId="34" fillId="0" borderId="0" xfId="1" applyFont="1" applyFill="1" applyBorder="1" applyAlignment="1">
      <alignment horizontal="left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horizontal="center" vertical="center"/>
    </xf>
    <xf numFmtId="0" fontId="31" fillId="35" borderId="0" xfId="1" applyFont="1" applyFill="1" applyBorder="1" applyAlignment="1">
      <alignment horizontal="left"/>
    </xf>
    <xf numFmtId="0" fontId="31" fillId="35" borderId="15" xfId="1" applyFont="1" applyFill="1" applyBorder="1" applyAlignment="1">
      <alignment horizontal="left"/>
    </xf>
    <xf numFmtId="2" fontId="28" fillId="0" borderId="20" xfId="1" applyNumberFormat="1" applyFont="1" applyBorder="1" applyProtection="1">
      <protection locked="0"/>
    </xf>
    <xf numFmtId="2" fontId="29" fillId="0" borderId="20" xfId="1" applyNumberFormat="1" applyFont="1" applyBorder="1" applyAlignment="1" applyProtection="1">
      <alignment horizontal="left"/>
      <protection locked="0"/>
    </xf>
    <xf numFmtId="0" fontId="17" fillId="0" borderId="0" xfId="1" applyAlignment="1" applyProtection="1">
      <alignment vertical="top"/>
      <protection locked="0"/>
    </xf>
    <xf numFmtId="49" fontId="24" fillId="38" borderId="14" xfId="1" applyNumberFormat="1" applyFont="1" applyFill="1" applyBorder="1" applyAlignment="1">
      <alignment horizontal="right" vertical="top"/>
    </xf>
    <xf numFmtId="0" fontId="24" fillId="38" borderId="0" xfId="1" applyFont="1" applyFill="1" applyBorder="1" applyAlignment="1">
      <alignment vertical="top" wrapText="1"/>
    </xf>
    <xf numFmtId="2" fontId="24" fillId="38" borderId="15" xfId="1" applyNumberFormat="1" applyFont="1" applyFill="1" applyBorder="1" applyAlignment="1">
      <alignment horizontal="right" vertical="top"/>
    </xf>
    <xf numFmtId="0" fontId="35" fillId="35" borderId="14" xfId="1" applyFont="1" applyFill="1" applyBorder="1" applyAlignment="1">
      <alignment horizontal="center" vertical="top"/>
    </xf>
    <xf numFmtId="0" fontId="35" fillId="35" borderId="0" xfId="1" applyFont="1" applyFill="1" applyBorder="1" applyAlignment="1">
      <alignment horizontal="center" vertical="top"/>
    </xf>
    <xf numFmtId="0" fontId="35" fillId="35" borderId="15" xfId="1" applyFont="1" applyFill="1" applyBorder="1" applyAlignment="1">
      <alignment horizontal="center" vertical="top"/>
    </xf>
    <xf numFmtId="0" fontId="21" fillId="0" borderId="0" xfId="2" applyAlignment="1" applyProtection="1">
      <alignment vertical="top"/>
    </xf>
    <xf numFmtId="2" fontId="21" fillId="0" borderId="0" xfId="2" applyNumberFormat="1" applyAlignment="1" applyProtection="1">
      <alignment vertical="top"/>
    </xf>
    <xf numFmtId="49" fontId="36" fillId="0" borderId="26" xfId="1" applyNumberFormat="1" applyFont="1" applyFill="1" applyBorder="1" applyAlignment="1">
      <alignment vertical="center"/>
    </xf>
    <xf numFmtId="49" fontId="36" fillId="0" borderId="27" xfId="1" applyNumberFormat="1" applyFont="1" applyFill="1" applyBorder="1" applyAlignment="1">
      <alignment vertical="center"/>
    </xf>
    <xf numFmtId="14" fontId="37" fillId="0" borderId="28" xfId="1" applyNumberFormat="1" applyFont="1" applyFill="1" applyBorder="1" applyAlignment="1">
      <alignment vertical="center"/>
    </xf>
    <xf numFmtId="0" fontId="19" fillId="0" borderId="29" xfId="1" applyFont="1" applyBorder="1" applyAlignment="1">
      <alignment horizontal="center"/>
    </xf>
    <xf numFmtId="0" fontId="35" fillId="35" borderId="26" xfId="1" applyFont="1" applyFill="1" applyBorder="1" applyAlignment="1">
      <alignment horizontal="center" vertical="top"/>
    </xf>
    <xf numFmtId="0" fontId="35" fillId="35" borderId="27" xfId="1" applyFont="1" applyFill="1" applyBorder="1" applyAlignment="1">
      <alignment horizontal="center" vertical="top"/>
    </xf>
    <xf numFmtId="0" fontId="35" fillId="35" borderId="28" xfId="1" applyFont="1" applyFill="1" applyBorder="1" applyAlignment="1">
      <alignment horizontal="center" vertical="top"/>
    </xf>
    <xf numFmtId="49" fontId="1" fillId="35" borderId="30" xfId="1" applyNumberFormat="1" applyFont="1" applyFill="1" applyBorder="1" applyAlignment="1">
      <alignment horizontal="center" vertical="top"/>
    </xf>
    <xf numFmtId="0" fontId="38" fillId="36" borderId="0" xfId="1" applyFont="1" applyFill="1" applyBorder="1" applyAlignment="1">
      <alignment horizontal="left" vertical="top" wrapText="1"/>
    </xf>
    <xf numFmtId="2" fontId="38" fillId="36" borderId="0" xfId="1" applyNumberFormat="1" applyFont="1" applyFill="1" applyBorder="1" applyAlignment="1">
      <alignment horizontal="left" vertical="top"/>
    </xf>
    <xf numFmtId="0" fontId="35" fillId="35" borderId="0" xfId="1" applyFont="1" applyFill="1" applyBorder="1" applyAlignment="1">
      <alignment vertical="top"/>
    </xf>
    <xf numFmtId="49" fontId="23" fillId="35" borderId="30" xfId="1" applyNumberFormat="1" applyFont="1" applyFill="1" applyBorder="1" applyAlignment="1">
      <alignment horizontal="center" vertical="top"/>
    </xf>
    <xf numFmtId="0" fontId="38" fillId="35" borderId="0" xfId="1" applyFont="1" applyFill="1" applyBorder="1" applyAlignment="1">
      <alignment horizontal="left" vertical="top" wrapText="1"/>
    </xf>
    <xf numFmtId="165" fontId="20" fillId="35" borderId="0" xfId="1" applyNumberFormat="1" applyFont="1" applyFill="1" applyBorder="1" applyAlignment="1">
      <alignment vertical="top"/>
    </xf>
    <xf numFmtId="2" fontId="17" fillId="0" borderId="0" xfId="1" applyNumberFormat="1" applyAlignment="1">
      <alignment vertical="top"/>
    </xf>
    <xf numFmtId="2" fontId="39" fillId="35" borderId="0" xfId="1" applyNumberFormat="1" applyFont="1" applyFill="1" applyBorder="1" applyAlignment="1">
      <alignment horizontal="left" vertical="top"/>
    </xf>
    <xf numFmtId="49" fontId="23" fillId="39" borderId="30" xfId="1" applyNumberFormat="1" applyFont="1" applyFill="1" applyBorder="1" applyAlignment="1">
      <alignment horizontal="center" vertical="top"/>
    </xf>
    <xf numFmtId="0" fontId="38" fillId="39" borderId="0" xfId="1" applyFont="1" applyFill="1" applyBorder="1" applyAlignment="1">
      <alignment horizontal="left" vertical="top" wrapText="1"/>
    </xf>
    <xf numFmtId="2" fontId="39" fillId="39" borderId="0" xfId="1" applyNumberFormat="1" applyFont="1" applyFill="1" applyBorder="1" applyAlignment="1">
      <alignment horizontal="left" vertical="top"/>
    </xf>
    <xf numFmtId="0" fontId="35" fillId="35" borderId="0" xfId="1" applyFont="1" applyFill="1" applyBorder="1"/>
    <xf numFmtId="1" fontId="23" fillId="39" borderId="30" xfId="1" applyNumberFormat="1" applyFont="1" applyFill="1" applyBorder="1" applyAlignment="1">
      <alignment horizontal="center" vertical="top"/>
    </xf>
    <xf numFmtId="0" fontId="20" fillId="39" borderId="0" xfId="1" applyFont="1" applyFill="1" applyBorder="1" applyAlignment="1">
      <alignment horizontal="left" vertical="top" wrapText="1"/>
    </xf>
    <xf numFmtId="2" fontId="20" fillId="39" borderId="0" xfId="1" applyNumberFormat="1" applyFont="1" applyFill="1" applyBorder="1" applyAlignment="1">
      <alignment horizontal="left" vertical="top"/>
    </xf>
    <xf numFmtId="49" fontId="23" fillId="39" borderId="31" xfId="1" applyNumberFormat="1" applyFont="1" applyFill="1" applyBorder="1" applyAlignment="1">
      <alignment horizontal="center" vertical="top"/>
    </xf>
    <xf numFmtId="0" fontId="20" fillId="39" borderId="32" xfId="1" applyFont="1" applyFill="1" applyBorder="1" applyAlignment="1">
      <alignment horizontal="left" vertical="top" wrapText="1"/>
    </xf>
    <xf numFmtId="2" fontId="20" fillId="39" borderId="32" xfId="1" applyNumberFormat="1" applyFont="1" applyFill="1" applyBorder="1" applyAlignment="1">
      <alignment horizontal="left" vertical="top"/>
    </xf>
    <xf numFmtId="0" fontId="39" fillId="35" borderId="0" xfId="1" applyFont="1" applyFill="1" applyBorder="1" applyAlignment="1">
      <alignment horizontal="left"/>
    </xf>
    <xf numFmtId="0" fontId="17" fillId="35" borderId="0" xfId="1" applyFill="1" applyAlignment="1">
      <alignment vertical="top"/>
    </xf>
    <xf numFmtId="0" fontId="17" fillId="35" borderId="0" xfId="1" applyFill="1"/>
  </cellXfs>
  <cellStyles count="222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" xfId="2" builtinId="8"/>
    <cellStyle name="Hyperlink 2" xfId="3"/>
    <cellStyle name="Hyperlink 2 2" xfId="698"/>
    <cellStyle name="Input 2" xfId="699"/>
    <cellStyle name="Linked Cell 2" xfId="700"/>
    <cellStyle name="Neutral 2" xfId="701"/>
    <cellStyle name="Normal" xfId="0" builtinId="0"/>
    <cellStyle name="Normal 10" xfId="702"/>
    <cellStyle name="Normal 10 10" xfId="703"/>
    <cellStyle name="Normal 10 11" xfId="704"/>
    <cellStyle name="Normal 10 12" xfId="705"/>
    <cellStyle name="Normal 10 13" xfId="706"/>
    <cellStyle name="Normal 10 2" xfId="707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1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Annx-B (DG)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(4)"/>
      <sheetName val="DHIL (3)"/>
      <sheetName val="MORNING 1"/>
      <sheetName val="MORNING2"/>
      <sheetName val="EVENING"/>
      <sheetName val="NIGHT "/>
      <sheetName val="Annx-B (DG) N"/>
      <sheetName val="Annx-B (DG) M1"/>
      <sheetName val="Annx-B (DG) M2"/>
      <sheetName val="Annx-B (DG) E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>
        <row r="48">
          <cell r="I48">
            <v>5.9</v>
          </cell>
        </row>
        <row r="49">
          <cell r="I49">
            <v>1.1000000000000001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D67">
            <v>0.21771000000000001</v>
          </cell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7</v>
          </cell>
        </row>
        <row r="72">
          <cell r="I72">
            <v>321.00128656349995</v>
          </cell>
        </row>
        <row r="73">
          <cell r="I73">
            <v>322.40582500000005</v>
          </cell>
        </row>
        <row r="83">
          <cell r="D83">
            <v>25.009750719999996</v>
          </cell>
        </row>
        <row r="84">
          <cell r="D84">
            <v>21.898082067499995</v>
          </cell>
        </row>
        <row r="85">
          <cell r="D85">
            <v>281.09345377599993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45">
          <cell r="I45">
            <v>5.9</v>
          </cell>
        </row>
        <row r="64">
          <cell r="D64">
            <v>0.21771000000000001</v>
          </cell>
        </row>
      </sheetData>
      <sheetData sheetId="10"/>
      <sheetData sheetId="11">
        <row r="4">
          <cell r="J4" t="str">
            <v xml:space="preserve">Avg. RE Rate </v>
          </cell>
        </row>
        <row r="5">
          <cell r="J5" t="str">
            <v>Avg.UI Rate</v>
          </cell>
          <cell r="K5">
            <v>38.115288891030055</v>
          </cell>
        </row>
      </sheetData>
      <sheetData sheetId="12"/>
      <sheetData sheetId="13">
        <row r="114">
          <cell r="AD114">
            <v>0</v>
          </cell>
        </row>
      </sheetData>
      <sheetData sheetId="14">
        <row r="101">
          <cell r="CF101">
            <v>0</v>
          </cell>
          <cell r="CG101">
            <v>0</v>
          </cell>
          <cell r="CH101">
            <v>0</v>
          </cell>
          <cell r="CI101">
            <v>-4.354449999999999</v>
          </cell>
          <cell r="CJ101">
            <v>0</v>
          </cell>
          <cell r="CK101">
            <v>0.89099999999999979</v>
          </cell>
          <cell r="CL101">
            <v>1.1560000000000004</v>
          </cell>
          <cell r="CN101">
            <v>47.530625000000001</v>
          </cell>
          <cell r="CO101">
            <v>1.0197499999999997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44482</v>
          </cell>
        </row>
        <row r="77">
          <cell r="I77">
            <v>212.64682999999999</v>
          </cell>
        </row>
      </sheetData>
      <sheetData sheetId="42"/>
      <sheetData sheetId="43"/>
      <sheetData sheetId="44"/>
      <sheetData sheetId="45">
        <row r="105">
          <cell r="BC105">
            <v>21.898082067499995</v>
          </cell>
        </row>
        <row r="109">
          <cell r="BC109">
            <v>4.0620538194902815</v>
          </cell>
        </row>
      </sheetData>
      <sheetData sheetId="46"/>
      <sheetData sheetId="47"/>
      <sheetData sheetId="48">
        <row r="5">
          <cell r="AF5">
            <v>15.14</v>
          </cell>
        </row>
        <row r="7">
          <cell r="AF7">
            <v>8.33</v>
          </cell>
        </row>
        <row r="9">
          <cell r="AC9">
            <v>553.95100000000002</v>
          </cell>
        </row>
        <row r="23">
          <cell r="AF23">
            <v>18.68</v>
          </cell>
        </row>
        <row r="24">
          <cell r="AC24">
            <v>110</v>
          </cell>
        </row>
      </sheetData>
      <sheetData sheetId="49"/>
      <sheetData sheetId="50"/>
      <sheetData sheetId="51"/>
      <sheetData sheetId="52">
        <row r="2">
          <cell r="K2">
            <v>13.13</v>
          </cell>
        </row>
      </sheetData>
      <sheetData sheetId="53">
        <row r="11">
          <cell r="F11">
            <v>22</v>
          </cell>
          <cell r="X11">
            <v>97.74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sm.nldc.in/" TargetMode="External"/><Relationship Id="rId1" Type="http://schemas.openxmlformats.org/officeDocument/2006/relationships/hyperlink" Target="http://14.139.247.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D05E"/>
    <pageSetUpPr fitToPage="1"/>
  </sheetPr>
  <dimension ref="A1:S65"/>
  <sheetViews>
    <sheetView tabSelected="1" view="pageBreakPreview" topLeftCell="A2" zoomScale="85" zoomScaleNormal="100" zoomScaleSheetLayoutView="85" zoomScalePageLayoutView="40" workbookViewId="0">
      <selection activeCell="N24" sqref="N24"/>
    </sheetView>
  </sheetViews>
  <sheetFormatPr defaultColWidth="9.109375" defaultRowHeight="14.4"/>
  <cols>
    <col min="1" max="1" width="5.109375" style="60" customWidth="1"/>
    <col min="2" max="2" width="41.6640625" style="6" customWidth="1"/>
    <col min="3" max="3" width="13.6640625" style="6" customWidth="1"/>
    <col min="4" max="4" width="2.88671875" style="6" customWidth="1"/>
    <col min="5" max="5" width="3.33203125" style="6" customWidth="1"/>
    <col min="6" max="6" width="32.5546875" style="6" customWidth="1"/>
    <col min="7" max="7" width="40.6640625" style="6" customWidth="1"/>
    <col min="8" max="8" width="3" style="6" customWidth="1"/>
    <col min="9" max="9" width="10.5546875" style="6" customWidth="1"/>
    <col min="10" max="10" width="4.109375" style="6" customWidth="1"/>
    <col min="11" max="11" width="24.88671875" style="6" bestFit="1" customWidth="1"/>
    <col min="12" max="12" width="12" style="6" bestFit="1" customWidth="1"/>
    <col min="13" max="13" width="3.33203125" style="6" customWidth="1"/>
    <col min="14" max="14" width="6.6640625" style="6" customWidth="1"/>
    <col min="15" max="15" width="25.5546875" style="6" hidden="1" customWidth="1"/>
    <col min="16" max="16" width="0" style="6" hidden="1" customWidth="1"/>
    <col min="17" max="17" width="21.88671875" style="6" customWidth="1"/>
    <col min="18" max="18" width="7.5546875" style="6" customWidth="1"/>
    <col min="19" max="19" width="6.88671875" style="6" customWidth="1"/>
    <col min="20" max="16384" width="9.109375" style="6"/>
  </cols>
  <sheetData>
    <row r="1" spans="1:19" ht="15" thickBot="1">
      <c r="A1" s="1" t="s">
        <v>0</v>
      </c>
      <c r="B1" s="2"/>
      <c r="C1" s="3"/>
      <c r="D1" s="4"/>
      <c r="E1" s="1" t="s">
        <v>1</v>
      </c>
      <c r="F1" s="2"/>
      <c r="G1" s="3"/>
      <c r="H1" s="5"/>
    </row>
    <row r="2" spans="1:19" s="15" customFormat="1" ht="22.5" customHeight="1" thickBot="1">
      <c r="A2" s="7" t="s">
        <v>2</v>
      </c>
      <c r="B2" s="8"/>
      <c r="C2" s="9"/>
      <c r="D2" s="10"/>
      <c r="E2" s="11" t="s">
        <v>3</v>
      </c>
      <c r="F2" s="12"/>
      <c r="G2" s="13"/>
      <c r="H2" s="5"/>
      <c r="I2" s="14"/>
    </row>
    <row r="3" spans="1:19" s="15" customFormat="1" ht="21" customHeight="1" thickBot="1">
      <c r="A3" s="7">
        <f>'[1]Form-1_AnticipatedVsActual_BI'!$C$2</f>
        <v>44482</v>
      </c>
      <c r="B3" s="8"/>
      <c r="C3" s="9"/>
      <c r="D3" s="10"/>
      <c r="E3" s="7">
        <f>A3</f>
        <v>44482</v>
      </c>
      <c r="F3" s="8"/>
      <c r="G3" s="9"/>
      <c r="H3" s="5"/>
      <c r="I3" s="14"/>
      <c r="K3" s="16" t="s">
        <v>4</v>
      </c>
      <c r="L3" s="17" t="s">
        <v>5</v>
      </c>
      <c r="N3" s="18"/>
      <c r="Q3" s="19" t="s">
        <v>6</v>
      </c>
      <c r="R3" s="20">
        <f>'[1]Report_DPS (HPSLDC)'!I48</f>
        <v>5.9</v>
      </c>
      <c r="S3" s="21">
        <f>'[1]Form-6_ImportExport'!AF23</f>
        <v>18.68</v>
      </c>
    </row>
    <row r="4" spans="1:19" ht="22.5" customHeight="1" thickBot="1">
      <c r="A4" s="22" t="s">
        <v>7</v>
      </c>
      <c r="B4" s="23" t="s">
        <v>8</v>
      </c>
      <c r="C4" s="24" t="str">
        <f>ROUND(('[1]Report_DPS (HPSLDC)'!D83+'[1]Report_DPS (HPSLDC)'!D84+'[1]Report_DPS (HPSLDC)'!D85+L19+L20+L22-L23),2)&amp;"  LU"</f>
        <v>374.24  LU</v>
      </c>
      <c r="D4" s="10"/>
      <c r="E4" s="25"/>
      <c r="F4" s="26"/>
      <c r="G4" s="27"/>
      <c r="H4" s="5"/>
      <c r="I4" s="28"/>
      <c r="K4" s="29" t="s">
        <v>9</v>
      </c>
      <c r="L4" s="30">
        <f>'[1]Form-10_Actual_RTD'!$K$2</f>
        <v>13.13</v>
      </c>
      <c r="N4" s="31"/>
      <c r="Q4" s="32" t="s">
        <v>10</v>
      </c>
      <c r="R4" s="33">
        <f>'[1]Form-4B URS_booked'!BC105</f>
        <v>21.898082067499995</v>
      </c>
      <c r="S4" s="34">
        <f>'[1]Form-4B URS_booked'!BC109</f>
        <v>4.0620538194902815</v>
      </c>
    </row>
    <row r="5" spans="1:19" ht="36.6" thickBot="1">
      <c r="A5" s="35" t="s">
        <v>11</v>
      </c>
      <c r="B5" s="36" t="s">
        <v>12</v>
      </c>
      <c r="C5" s="37" t="str">
        <f>ROUND(('[1]Report_DPS (HPSLDC)'!D85+'PrSec_Report (hpsldc) (FInal)'!L19+L20+L22-L23),2)&amp;"  LU"</f>
        <v>327.34  LU</v>
      </c>
      <c r="D5" s="10"/>
      <c r="E5" s="38" t="s">
        <v>13</v>
      </c>
      <c r="F5" s="39" t="s">
        <v>14</v>
      </c>
      <c r="G5" s="40"/>
      <c r="H5" s="5"/>
      <c r="I5" s="28"/>
      <c r="K5" s="29" t="str">
        <f>[1]PrSec_Report!J4</f>
        <v xml:space="preserve">Avg. RE Rate </v>
      </c>
      <c r="L5" s="41">
        <f>N10</f>
        <v>0</v>
      </c>
      <c r="N5" s="42"/>
      <c r="O5" s="42"/>
      <c r="P5" s="42"/>
      <c r="Q5" s="43" t="s">
        <v>15</v>
      </c>
      <c r="R5" s="44">
        <f>'[1]Report_DPS (HPSLDC)'!D67</f>
        <v>0.21771000000000001</v>
      </c>
      <c r="S5" s="45">
        <f>'[1]Form-6_ImportExport'!AF7</f>
        <v>8.33</v>
      </c>
    </row>
    <row r="6" spans="1:19" ht="24.6" customHeight="1">
      <c r="A6" s="46" t="s">
        <v>16</v>
      </c>
      <c r="B6" s="36" t="s">
        <v>17</v>
      </c>
      <c r="C6" s="47" t="str">
        <f>ROUND(('[1]Report_DPS (HPSLDC)'!D83+'[1]Report_DPS (HPSLDC)'!D84),2)&amp;"  LU"</f>
        <v>46.91  LU</v>
      </c>
      <c r="D6" s="10"/>
      <c r="E6" s="48"/>
      <c r="F6" s="49" t="s">
        <v>18</v>
      </c>
      <c r="G6" s="50" t="str">
        <f>ROUND(L13,2)&amp;" LU @ Rs."&amp;ROUND(N13,2)&amp;"/Unit = Rs. "&amp;ROUND(L13*N13,1)&amp;"Lac (Aprx.)"</f>
        <v>5.54 LU @ Rs.6.61/Unit = Rs. 36.6Lac (Aprx.)</v>
      </c>
      <c r="H6" s="5"/>
      <c r="I6" s="51">
        <f>ROUND([1]Report_DPS!D64*'[1]Form-6_ImportExport'!AF7,1)*-1</f>
        <v>-1.8</v>
      </c>
      <c r="K6" s="29" t="str">
        <f>[1]PrSec_Report!J5</f>
        <v>Avg.UI Rate</v>
      </c>
      <c r="L6" s="29">
        <f>[1]PrSec_Report!K5</f>
        <v>38.115288891030055</v>
      </c>
      <c r="N6" s="52"/>
      <c r="O6" s="53"/>
      <c r="P6" s="53"/>
      <c r="Q6" s="53"/>
    </row>
    <row r="7" spans="1:19" ht="19.5" customHeight="1">
      <c r="A7" s="22" t="s">
        <v>19</v>
      </c>
      <c r="B7" s="23" t="s">
        <v>20</v>
      </c>
      <c r="C7" s="24" t="str">
        <f>ROUND(('[1]Report_DPS (HPSLDC)'!I71+'PrSec_Report (hpsldc) (FInal)'!L19+'PrSec_Report (hpsldc) (FInal)'!L20+'PrSec_Report (hpsldc) (FInal)'!L22-L23),2)&amp;"  LU"</f>
        <v>53.24  LU</v>
      </c>
      <c r="D7" s="10"/>
      <c r="E7" s="48"/>
      <c r="F7" s="49" t="s">
        <v>21</v>
      </c>
      <c r="G7" s="50" t="str">
        <f>ROUND('[1]Form-4B URS_booked'!BC105,2)&amp;" LU @ Rs."&amp;ROUND('[1]Form-4B URS_booked'!BC109,2)&amp;"/Unit  = Rs. "&amp;ROUND('[1]Form-4B URS_booked'!BC105*'[1]Form-4B URS_booked'!BC109,1)*1&amp;"Lac (Aprx.)"</f>
        <v>21.9 LU @ Rs.4.06/Unit  = Rs. 89Lac (Aprx.)</v>
      </c>
      <c r="H7" s="5"/>
      <c r="I7" s="51">
        <f>ROUND('[1]Form-4B URS_booked'!BC105*'[1]Form-4B URS_booked'!BC109,1)*-1</f>
        <v>-89</v>
      </c>
      <c r="N7" s="52"/>
      <c r="O7" s="54"/>
      <c r="P7" s="55"/>
      <c r="Q7" s="55"/>
    </row>
    <row r="8" spans="1:19" ht="19.5" customHeight="1">
      <c r="A8" s="22"/>
      <c r="B8" s="23"/>
      <c r="C8" s="24"/>
      <c r="D8" s="10"/>
      <c r="E8" s="48"/>
      <c r="F8" s="49" t="s">
        <v>22</v>
      </c>
      <c r="G8" s="50" t="str">
        <f>IF(R5=0,"",ROUND(R5,2)&amp;" LU @ Rs."&amp;ROUND(S5,2)&amp;"/Unit = Rs. "&amp;ROUND(R5*S5,1)&amp;"Lac (Aprx.)")</f>
        <v>0.22 LU @ Rs.8.33/Unit = Rs. 1.8Lac (Aprx.)</v>
      </c>
      <c r="H8" s="5"/>
      <c r="I8" s="51"/>
      <c r="N8" s="52"/>
      <c r="O8" s="54"/>
      <c r="P8" s="55"/>
      <c r="Q8" s="55"/>
    </row>
    <row r="9" spans="1:19" s="60" customFormat="1" ht="21" customHeight="1">
      <c r="A9" s="56" t="s">
        <v>23</v>
      </c>
      <c r="B9" s="57" t="s">
        <v>24</v>
      </c>
      <c r="C9" s="58"/>
      <c r="D9" s="10"/>
      <c r="E9" s="48"/>
      <c r="F9" s="49" t="s">
        <v>25</v>
      </c>
      <c r="G9" s="50" t="str">
        <f>ROUND([1]Report_DPS!I45,2)&amp;" LU @ Rs."&amp;ROUND('[1]Form-6_ImportExport'!AF23,2)&amp;"/Unit  = Rs. "&amp;ROUND([1]Report_DPS!I45*'[1]Form-6_ImportExport'!AF23,1)&amp;"Lac (Aprx.)"</f>
        <v>5.9 LU @ Rs.18.68/Unit  = Rs. 110.2Lac (Aprx.)</v>
      </c>
      <c r="H9" s="5"/>
      <c r="I9" s="59">
        <f>ROUND([1]Report_DPS!I45*'[1]Form-6_ImportExport'!AF23,1)</f>
        <v>110.2</v>
      </c>
      <c r="K9" s="6"/>
      <c r="L9" s="6"/>
      <c r="M9" s="6"/>
      <c r="N9" s="31"/>
      <c r="O9" s="6"/>
    </row>
    <row r="10" spans="1:19" s="67" customFormat="1" ht="16.2" customHeight="1">
      <c r="A10" s="61"/>
      <c r="B10" s="62" t="s">
        <v>26</v>
      </c>
      <c r="C10" s="63" t="str">
        <f>ROUND('[1]Report_DPS (HPSLDC)'!I48,2)&amp;" LU "</f>
        <v xml:space="preserve">5.9 LU </v>
      </c>
      <c r="D10" s="10"/>
      <c r="E10" s="48"/>
      <c r="F10" s="64" t="s">
        <v>27</v>
      </c>
      <c r="G10" s="65" t="str">
        <f>ROUND(L10,2)&amp;" LU @ Rs."&amp;ROUND(N10,2)&amp;"/Unit = Rs. "&amp;ROUND(L10*N10,1)&amp;"Lac (Aprx.)"</f>
        <v>0 LU @ Rs.0/Unit = Rs. 0Lac (Aprx.)</v>
      </c>
      <c r="H10" s="5"/>
      <c r="I10" s="66">
        <f>ROUND(L10*N10,1)</f>
        <v>0</v>
      </c>
      <c r="K10" s="68" t="s">
        <v>28</v>
      </c>
      <c r="L10" s="69">
        <f>'[1]Report_Daily Hrly Load Sheet '!AD114</f>
        <v>0</v>
      </c>
      <c r="M10" s="68" t="s">
        <v>29</v>
      </c>
      <c r="N10" s="70">
        <v>0</v>
      </c>
      <c r="O10" s="71"/>
    </row>
    <row r="11" spans="1:19" s="67" customFormat="1" ht="13.2" customHeight="1">
      <c r="A11" s="61"/>
      <c r="B11" s="62" t="s">
        <v>30</v>
      </c>
      <c r="C11" s="63" t="str">
        <f>ROUND('[1]Report_DPS (HPSLDC)'!I49,2)&amp;" LU "</f>
        <v xml:space="preserve">1.1 LU </v>
      </c>
      <c r="D11" s="10"/>
      <c r="E11" s="48"/>
      <c r="F11" s="64" t="s">
        <v>31</v>
      </c>
      <c r="G11" s="65" t="str">
        <f>ROUND(L11,2)&amp;" LU @ Rs."&amp;ROUND(N11,2)&amp;"/Unit = Rs. "&amp;ROUND(L11*N11,1)&amp;"Lac (Aprx.)"</f>
        <v>1.1 LU @ Rs.13.46/Unit = Rs. 14.8Lac (Aprx.)</v>
      </c>
      <c r="H11" s="5"/>
      <c r="I11" s="66">
        <f t="shared" ref="I11" si="0">ROUND(L11*N11,1)</f>
        <v>14.8</v>
      </c>
      <c r="K11" s="72" t="s">
        <v>32</v>
      </c>
      <c r="L11" s="73">
        <f>'[1]Form-6_ImportExport'!AC24/100</f>
        <v>1.1000000000000001</v>
      </c>
      <c r="M11" s="68" t="s">
        <v>29</v>
      </c>
      <c r="N11" s="70">
        <v>13.46</v>
      </c>
      <c r="O11" s="71"/>
    </row>
    <row r="12" spans="1:19" s="67" customFormat="1" ht="13.2" customHeight="1">
      <c r="A12" s="61"/>
      <c r="B12" s="62" t="s">
        <v>33</v>
      </c>
      <c r="C12" s="63" t="str">
        <f>ROUND('[1]Report_DPS (HPSLDC)'!I63+'[1]Report_DPS (HPSLDC)'!I64+'[1]Report_DPS (HPSLDC)'!I65+'[1]Report_DPS (HPSLDC)'!I66+'[1]Report_DPS (HPSLDC)'!I67+'[1]Report_DPS (HPSLDC)'!I68+'[1]Report_DPS (HPSLDC)'!I69+'[1]Report_DPS (HPSLDC)'!I70,2)&amp;" LU "</f>
        <v xml:space="preserve">0 LU </v>
      </c>
      <c r="D12" s="10"/>
      <c r="E12" s="48"/>
      <c r="F12" s="74" t="s">
        <v>34</v>
      </c>
      <c r="G12" s="75" t="str">
        <f>"Rs. "&amp;ROUND(L10*N10,1)+ROUND(L11*N11,1)+ROUND(R3*S3,1)-ROUND(R4*S4,1)-ROUND(L13*N13,1)-ROUND(R5*S5,1)&amp;"Lac (Aprx.)"</f>
        <v>Rs. -2.4Lac (Aprx.)</v>
      </c>
      <c r="H12" s="5"/>
      <c r="I12" s="66">
        <f>(I9+I10)+(I6+I7)</f>
        <v>19.400000000000006</v>
      </c>
      <c r="K12" s="76" t="s">
        <v>35</v>
      </c>
      <c r="L12" s="76"/>
      <c r="M12" s="68" t="s">
        <v>29</v>
      </c>
      <c r="N12" s="77"/>
      <c r="O12" s="71"/>
    </row>
    <row r="13" spans="1:19" s="67" customFormat="1" ht="13.2" customHeight="1">
      <c r="A13" s="61"/>
      <c r="B13" s="62" t="s">
        <v>36</v>
      </c>
      <c r="C13" s="63" t="str">
        <f>ROUND('[1]Report_DPS (HPSLDC)'!I60+'[1]Report_DPS (HPSLDC)'!I59+'[1]Report_DPS (HPSLDC)'!I61,2)&amp;"LU"</f>
        <v>0LU</v>
      </c>
      <c r="D13" s="10"/>
      <c r="E13" s="78"/>
      <c r="F13" s="74"/>
      <c r="G13" s="75"/>
      <c r="H13" s="5"/>
      <c r="I13" s="79"/>
      <c r="K13" s="72" t="s">
        <v>37</v>
      </c>
      <c r="L13" s="80">
        <f>'[1]Form-6_ImportExport'!AC9/100</f>
        <v>5.5395099999999999</v>
      </c>
      <c r="M13" s="68" t="s">
        <v>29</v>
      </c>
      <c r="N13" s="70">
        <v>6.61</v>
      </c>
      <c r="O13" s="71"/>
    </row>
    <row r="14" spans="1:19" s="67" customFormat="1" ht="13.2" customHeight="1">
      <c r="A14" s="61"/>
      <c r="B14" s="81" t="s">
        <v>38</v>
      </c>
      <c r="C14" s="63" t="str">
        <f>ROUND('[1]Report_DPS (HPSLDC)'!I57+'[1]Report_DPS (HPSLDC)'!I58,2)&amp;"LU"</f>
        <v>0LU</v>
      </c>
      <c r="D14" s="10"/>
      <c r="E14" s="78"/>
      <c r="F14" s="74"/>
      <c r="G14" s="75"/>
      <c r="H14" s="5"/>
      <c r="I14" s="79"/>
      <c r="K14" s="71"/>
      <c r="L14" s="71"/>
      <c r="M14" s="71"/>
      <c r="N14" s="82"/>
      <c r="O14" s="71"/>
    </row>
    <row r="15" spans="1:19" s="67" customFormat="1" ht="13.2" customHeight="1">
      <c r="A15" s="61"/>
      <c r="B15" s="83" t="s">
        <v>39</v>
      </c>
      <c r="C15" s="63" t="str">
        <f>ROUND('[1]Report_DPS (HPSLDC)'!I71,2)&amp;" LU "</f>
        <v xml:space="preserve">7 LU </v>
      </c>
      <c r="D15" s="10"/>
      <c r="E15" s="78"/>
      <c r="F15" s="84"/>
      <c r="G15" s="85"/>
      <c r="H15" s="5"/>
      <c r="I15" s="79"/>
      <c r="K15" s="71"/>
      <c r="L15" s="71"/>
      <c r="M15" s="71"/>
      <c r="N15" s="82"/>
      <c r="O15" s="71"/>
    </row>
    <row r="16" spans="1:19" s="60" customFormat="1" ht="13.95" customHeight="1">
      <c r="A16" s="86" t="s">
        <v>40</v>
      </c>
      <c r="B16" s="87" t="s">
        <v>41</v>
      </c>
      <c r="C16" s="88"/>
      <c r="D16" s="10"/>
      <c r="E16" s="89" t="s">
        <v>42</v>
      </c>
      <c r="F16" s="90" t="s">
        <v>43</v>
      </c>
      <c r="G16" s="91"/>
      <c r="H16" s="5"/>
      <c r="I16" s="92"/>
      <c r="K16" s="6"/>
      <c r="L16" s="6"/>
      <c r="M16" s="6"/>
      <c r="N16" s="31"/>
      <c r="O16" s="6"/>
    </row>
    <row r="17" spans="1:15" s="67" customFormat="1" ht="13.8" customHeight="1">
      <c r="A17" s="46"/>
      <c r="B17" s="62"/>
      <c r="C17" s="93"/>
      <c r="D17" s="10"/>
      <c r="E17" s="94"/>
      <c r="F17" s="95"/>
      <c r="G17" s="96"/>
      <c r="H17" s="5"/>
      <c r="I17" s="79"/>
      <c r="K17" s="71"/>
      <c r="L17" s="71"/>
      <c r="M17" s="71"/>
      <c r="N17" s="82"/>
      <c r="O17" s="71"/>
    </row>
    <row r="18" spans="1:15" s="67" customFormat="1" ht="14.4" customHeight="1">
      <c r="A18" s="61"/>
      <c r="B18" s="62" t="s">
        <v>26</v>
      </c>
      <c r="C18" s="93" t="str">
        <f>ROUND(L19,2)&amp;" LU "</f>
        <v xml:space="preserve">49.58 LU </v>
      </c>
      <c r="D18" s="10"/>
      <c r="E18" s="94"/>
      <c r="F18" s="97" t="s">
        <v>44</v>
      </c>
      <c r="G18" s="98" t="str">
        <f>ROUND(L19,2)&amp;" LU @ Rs."&amp;N19&amp;"/Unit = Rs. "&amp;ROUND(L19*N19,1)&amp;"Lac (Aprx.)"</f>
        <v>49.58 LU @ Rs.15.14/Unit = Rs. 750.6Lac (Aprx.)</v>
      </c>
      <c r="H18" s="5"/>
      <c r="I18" s="79"/>
      <c r="K18" s="99"/>
      <c r="L18" s="100"/>
      <c r="M18" s="101"/>
      <c r="N18" s="102"/>
    </row>
    <row r="19" spans="1:15" s="67" customFormat="1" ht="13.2" customHeight="1">
      <c r="A19" s="61"/>
      <c r="B19" s="62" t="s">
        <v>45</v>
      </c>
      <c r="C19" s="93" t="str">
        <f>ROUND(L20,2)&amp;" LU "</f>
        <v xml:space="preserve">0 LU </v>
      </c>
      <c r="D19" s="10"/>
      <c r="E19" s="94"/>
      <c r="F19" s="36" t="str">
        <f>"ii) Sale to "&amp;K20</f>
        <v>ii) Sale to Other States</v>
      </c>
      <c r="G19" s="103" t="str">
        <f>ROUND(L20,2)&amp;" LU @ Rs."&amp;ROUND(N20,2)&amp;"/Unit = Rs. "&amp;ROUND(L20*N20,1)&amp;"Lac (Aprx.)"</f>
        <v>0 LU @ Rs.0/Unit = Rs. 0Lac (Aprx.)</v>
      </c>
      <c r="H19" s="5"/>
      <c r="I19" s="79"/>
      <c r="K19" s="68" t="s">
        <v>46</v>
      </c>
      <c r="L19" s="69">
        <f>[1]Report_GoHP!CN101+[1]Report_GoHP!CK101+[1]Report_GoHP!CL101</f>
        <v>49.577624999999998</v>
      </c>
      <c r="M19" s="68" t="s">
        <v>29</v>
      </c>
      <c r="N19" s="104">
        <f>'[1]Form-6_ImportExport'!AF5</f>
        <v>15.14</v>
      </c>
    </row>
    <row r="20" spans="1:15" s="67" customFormat="1" ht="15" customHeight="1">
      <c r="A20" s="61"/>
      <c r="B20" s="62" t="s">
        <v>47</v>
      </c>
      <c r="C20" s="93" t="str">
        <f>ROUND(L22/1,3)&amp;" LU "</f>
        <v xml:space="preserve">1.02 LU </v>
      </c>
      <c r="D20" s="10"/>
      <c r="E20" s="94"/>
      <c r="F20" s="36" t="str">
        <f>IF(L22=0,"","iii) RTM IEX Sale")</f>
        <v>iii) RTM IEX Sale</v>
      </c>
      <c r="G20" s="105" t="str">
        <f>IF(L22=0,"",ROUND(L22,2)&amp;" LU @ Rs."&amp;N22&amp;"/Unit = Rs. "&amp;ROUND(L22*N22,1)&amp;"Lac (Aprx.)")</f>
        <v>1.02 LU @ Rs.11.8/Unit = Rs. 12Lac (Aprx.)</v>
      </c>
      <c r="H20" s="5"/>
      <c r="I20" s="79"/>
      <c r="K20" s="106" t="s">
        <v>48</v>
      </c>
      <c r="L20" s="69">
        <f>[1]Report_GoHP!CG101+[1]Report_GoHP!CF101</f>
        <v>0</v>
      </c>
      <c r="M20" s="68" t="s">
        <v>29</v>
      </c>
      <c r="N20" s="70">
        <v>0</v>
      </c>
    </row>
    <row r="21" spans="1:15" s="67" customFormat="1" ht="12.6" customHeight="1">
      <c r="A21" s="61"/>
      <c r="B21" s="62"/>
      <c r="C21" s="93"/>
      <c r="D21" s="10"/>
      <c r="E21" s="94"/>
      <c r="F21" s="107" t="str">
        <f>IF(L23=0,"","iv) RTM IEX Purchase")</f>
        <v>iv) RTM IEX Purchase</v>
      </c>
      <c r="G21" s="105" t="str">
        <f>IF(L23=0,"",ROUND(L23,2)&amp;" LU @ Rs."&amp;N23&amp;"/Unit = Rs. "&amp;ROUND(L23*N23,1)&amp;"Lac (Aprx.)")</f>
        <v>4.35 LU @ Rs.11.85/Unit = Rs. 51.6Lac (Aprx.)</v>
      </c>
      <c r="H21" s="5"/>
      <c r="I21" s="79"/>
      <c r="K21" s="106"/>
      <c r="L21" s="69"/>
      <c r="M21" s="68"/>
      <c r="N21" s="70"/>
    </row>
    <row r="22" spans="1:15" s="67" customFormat="1" ht="31.2" customHeight="1">
      <c r="A22" s="61"/>
      <c r="B22" s="83" t="s">
        <v>49</v>
      </c>
      <c r="C22" s="63" t="str">
        <f>ROUND(L17+L19+L20+L22-L23,2)&amp;" LU "</f>
        <v xml:space="preserve">46.24 LU </v>
      </c>
      <c r="D22" s="10"/>
      <c r="E22" s="94"/>
      <c r="F22" s="108" t="s">
        <v>50</v>
      </c>
      <c r="G22" s="109" t="str">
        <f>"Rs. "&amp;ROUND(L19*N19,1)+ROUND(L20*N20,1)+ROUND(L22*N22,1)-ROUND(L23*N23,1)&amp;"Lac (Aprx.)"</f>
        <v>Rs. 711Lac (Aprx.)</v>
      </c>
      <c r="H22" s="5"/>
      <c r="I22" s="79"/>
      <c r="K22" s="68" t="s">
        <v>51</v>
      </c>
      <c r="L22" s="73">
        <f>[1]Report_GoHP!CO101+[1]Report_GoHP!CJ101+[1]Report_GoHP!CH101</f>
        <v>1.0197499999999997</v>
      </c>
      <c r="M22" s="68" t="s">
        <v>29</v>
      </c>
      <c r="N22" s="70">
        <v>11.8</v>
      </c>
    </row>
    <row r="23" spans="1:15" s="60" customFormat="1" ht="18.75" customHeight="1">
      <c r="A23" s="22" t="s">
        <v>52</v>
      </c>
      <c r="B23" s="23" t="s">
        <v>53</v>
      </c>
      <c r="C23" s="24" t="str">
        <f>ROUND('[1]Report_DPS (HPSLDC)'!I72,2)&amp;" LU"</f>
        <v>321 LU</v>
      </c>
      <c r="D23" s="10"/>
      <c r="E23" s="94"/>
      <c r="F23" s="110" t="s">
        <v>9</v>
      </c>
      <c r="G23" s="111" t="str">
        <f>"Rs. "&amp;L4&amp;"/Unit"</f>
        <v>Rs. 13.13/Unit</v>
      </c>
      <c r="H23" s="5"/>
      <c r="I23" s="92"/>
      <c r="K23" s="106" t="s">
        <v>54</v>
      </c>
      <c r="L23" s="112">
        <f>-[1]Report_GoHP!CI101</f>
        <v>4.354449999999999</v>
      </c>
      <c r="M23" s="106" t="s">
        <v>29</v>
      </c>
      <c r="N23" s="113">
        <v>11.85</v>
      </c>
      <c r="O23" s="114"/>
    </row>
    <row r="24" spans="1:15" s="60" customFormat="1" ht="18.75" customHeight="1">
      <c r="A24" s="22">
        <v>4</v>
      </c>
      <c r="B24" s="23" t="s">
        <v>55</v>
      </c>
      <c r="C24" s="24" t="str">
        <f>ROUND('[1]Report_DPS (HPSLDC)'!I73,2)&amp;" LU"</f>
        <v>322.41 LU</v>
      </c>
      <c r="D24" s="10"/>
      <c r="E24" s="94"/>
      <c r="F24" s="110"/>
      <c r="G24" s="111"/>
      <c r="H24" s="5"/>
      <c r="I24" s="92"/>
    </row>
    <row r="25" spans="1:15" s="60" customFormat="1" ht="18.75" customHeight="1">
      <c r="A25" s="115" t="s">
        <v>56</v>
      </c>
      <c r="B25" s="116" t="s">
        <v>57</v>
      </c>
      <c r="C25" s="117" t="str">
        <f>ROUND(K27,2)&amp;" LU"</f>
        <v>212.65 LU</v>
      </c>
      <c r="D25" s="10"/>
      <c r="E25" s="118"/>
      <c r="F25" s="119"/>
      <c r="G25" s="120"/>
      <c r="H25" s="5"/>
      <c r="I25" s="92"/>
      <c r="K25" s="60" t="s">
        <v>58</v>
      </c>
    </row>
    <row r="26" spans="1:15" s="60" customFormat="1" ht="18.75" customHeight="1">
      <c r="A26" s="115" t="s">
        <v>59</v>
      </c>
      <c r="B26" s="116" t="s">
        <v>60</v>
      </c>
      <c r="C26" s="117" t="str">
        <f>ROUND(('[1]Report_DPS (HPSLDC)'!I73-K27),2)&amp;" LU"</f>
        <v>109.76 LU</v>
      </c>
      <c r="D26" s="10"/>
      <c r="E26" s="118"/>
      <c r="F26" s="119"/>
      <c r="G26" s="120"/>
      <c r="H26" s="5"/>
      <c r="I26" s="92"/>
      <c r="K26" s="121" t="s">
        <v>61</v>
      </c>
    </row>
    <row r="27" spans="1:15" s="60" customFormat="1" ht="15.75" customHeight="1">
      <c r="A27" s="22" t="s">
        <v>62</v>
      </c>
      <c r="B27" s="23" t="s">
        <v>63</v>
      </c>
      <c r="C27" s="24" t="str">
        <f>ROUND('[1]Report_DPS (HPSLDC)'!I72-'[1]Report_DPS (HPSLDC)'!I73,2)&amp;" LU"</f>
        <v>-1.4 LU</v>
      </c>
      <c r="D27" s="10"/>
      <c r="E27" s="118"/>
      <c r="F27" s="119"/>
      <c r="G27" s="120"/>
      <c r="H27" s="5"/>
      <c r="I27" s="92"/>
      <c r="K27" s="122">
        <f>'[1]Form-1_AnticipatedVsActual_BI'!I77</f>
        <v>212.64682999999999</v>
      </c>
    </row>
    <row r="28" spans="1:15" s="60" customFormat="1" ht="19.5" customHeight="1" thickBot="1">
      <c r="A28" s="123" t="s">
        <v>64</v>
      </c>
      <c r="B28" s="124"/>
      <c r="C28" s="125">
        <f>A3</f>
        <v>44482</v>
      </c>
      <c r="D28" s="126"/>
      <c r="E28" s="127"/>
      <c r="F28" s="128"/>
      <c r="G28" s="129"/>
      <c r="H28" s="5"/>
      <c r="I28" s="92"/>
      <c r="K28" s="122"/>
    </row>
    <row r="29" spans="1:15" s="60" customFormat="1" ht="19.5" customHeight="1">
      <c r="A29" s="130"/>
      <c r="B29" s="131"/>
      <c r="C29" s="132"/>
      <c r="D29" s="132"/>
      <c r="E29" s="133"/>
      <c r="I29" s="92"/>
      <c r="K29" s="121"/>
    </row>
    <row r="30" spans="1:15" s="60" customFormat="1" ht="19.5" customHeight="1">
      <c r="A30" s="134"/>
      <c r="B30" s="135"/>
      <c r="C30" s="136"/>
      <c r="D30" s="136"/>
      <c r="E30" s="133"/>
      <c r="I30" s="92"/>
      <c r="K30" s="137">
        <f>AVERAGE(N19:N22)</f>
        <v>8.98</v>
      </c>
    </row>
    <row r="31" spans="1:15" s="60" customFormat="1" ht="19.5" customHeight="1">
      <c r="A31" s="134"/>
      <c r="B31" s="135"/>
      <c r="C31" s="136"/>
      <c r="D31" s="136"/>
      <c r="E31" s="133"/>
      <c r="I31" s="92"/>
    </row>
    <row r="32" spans="1:15" s="60" customFormat="1" ht="32.4" customHeight="1">
      <c r="A32" s="130"/>
      <c r="B32" s="135"/>
      <c r="C32" s="138"/>
      <c r="D32" s="138"/>
      <c r="E32" s="133"/>
      <c r="I32" s="92"/>
    </row>
    <row r="33" spans="1:15" s="60" customFormat="1" ht="19.5" customHeight="1">
      <c r="A33" s="139"/>
      <c r="B33" s="140"/>
      <c r="C33" s="141"/>
      <c r="D33" s="141"/>
      <c r="E33" s="133"/>
      <c r="F33" s="142"/>
      <c r="G33" s="142"/>
      <c r="H33" s="142"/>
      <c r="I33" s="92"/>
    </row>
    <row r="34" spans="1:15" s="60" customFormat="1" ht="19.5" customHeight="1">
      <c r="A34" s="143"/>
      <c r="B34" s="144"/>
      <c r="C34" s="145"/>
      <c r="D34" s="145"/>
      <c r="E34" s="133"/>
      <c r="F34" s="142"/>
      <c r="G34" s="142"/>
      <c r="H34" s="142"/>
      <c r="I34" s="92"/>
    </row>
    <row r="35" spans="1:15" s="60" customFormat="1" ht="19.5" customHeight="1">
      <c r="A35" s="143"/>
      <c r="B35" s="144"/>
      <c r="C35" s="145"/>
      <c r="D35" s="145"/>
      <c r="E35" s="133"/>
      <c r="F35" s="142"/>
      <c r="G35" s="142"/>
      <c r="H35" s="142"/>
      <c r="I35" s="92"/>
    </row>
    <row r="36" spans="1:15" s="60" customFormat="1" ht="19.5" customHeight="1">
      <c r="A36" s="139"/>
      <c r="B36" s="144"/>
      <c r="C36" s="145"/>
      <c r="D36" s="145"/>
      <c r="E36" s="133"/>
      <c r="F36" s="142"/>
      <c r="G36" s="142"/>
      <c r="H36" s="142"/>
      <c r="I36" s="92"/>
    </row>
    <row r="37" spans="1:15" s="60" customFormat="1" ht="46.2" customHeight="1">
      <c r="A37" s="146"/>
      <c r="B37" s="147"/>
      <c r="C37" s="148"/>
      <c r="D37" s="145"/>
      <c r="E37" s="133"/>
      <c r="F37" s="142"/>
      <c r="G37" s="142"/>
      <c r="H37" s="142"/>
      <c r="I37" s="92"/>
    </row>
    <row r="38" spans="1:15" s="60" customFormat="1" ht="22.2" customHeight="1">
      <c r="E38" s="133"/>
      <c r="F38" s="142"/>
      <c r="G38" s="142"/>
      <c r="H38" s="142"/>
      <c r="I38" s="92"/>
    </row>
    <row r="39" spans="1:15" s="60" customFormat="1" ht="42" customHeight="1">
      <c r="E39" s="133"/>
      <c r="H39" s="60">
        <v>2.73</v>
      </c>
      <c r="I39" s="92"/>
    </row>
    <row r="40" spans="1:15" s="60" customFormat="1" ht="45.6" customHeight="1">
      <c r="E40" s="133"/>
      <c r="F40" s="149"/>
      <c r="G40" s="149"/>
      <c r="H40" s="149">
        <v>3.15</v>
      </c>
      <c r="I40" s="92"/>
    </row>
    <row r="41" spans="1:15" s="60" customFormat="1" ht="23.25" customHeight="1">
      <c r="B41" s="150"/>
      <c r="E41" s="133"/>
      <c r="F41" s="150"/>
      <c r="G41" s="150"/>
      <c r="H41" s="150">
        <v>2.99</v>
      </c>
      <c r="I41" s="92"/>
    </row>
    <row r="42" spans="1:15" s="60" customFormat="1" ht="39.75" customHeight="1">
      <c r="B42" s="151"/>
      <c r="E42" s="150"/>
      <c r="F42" s="150"/>
      <c r="G42" s="150"/>
      <c r="H42" s="150">
        <v>3.24</v>
      </c>
      <c r="I42" s="92"/>
    </row>
    <row r="43" spans="1:15" s="60" customFormat="1" ht="22.5" customHeight="1">
      <c r="A43" s="150"/>
      <c r="B43" s="142"/>
      <c r="C43" s="150"/>
      <c r="D43" s="150"/>
      <c r="E43" s="28"/>
      <c r="F43" s="28"/>
      <c r="G43" s="28"/>
      <c r="H43" s="28"/>
      <c r="I43" s="92"/>
    </row>
    <row r="44" spans="1:15" ht="42.75" customHeight="1">
      <c r="A44" s="151"/>
      <c r="C44" s="151"/>
      <c r="D44" s="151"/>
      <c r="E44" s="28"/>
      <c r="F44" s="28"/>
      <c r="G44" s="28"/>
      <c r="H44" s="28"/>
      <c r="I44" s="28"/>
      <c r="K44" s="60"/>
      <c r="L44" s="60"/>
      <c r="M44" s="60"/>
      <c r="N44" s="60"/>
      <c r="O44" s="60"/>
    </row>
    <row r="45" spans="1:15" ht="18" customHeight="1">
      <c r="A45" s="133"/>
      <c r="C45" s="142"/>
      <c r="D45" s="142"/>
      <c r="I45" s="28"/>
      <c r="K45" s="60"/>
      <c r="L45" s="60"/>
      <c r="M45" s="60"/>
      <c r="N45" s="60"/>
      <c r="O45" s="60"/>
    </row>
    <row r="46" spans="1:15" ht="22.5" customHeight="1">
      <c r="K46" s="60"/>
      <c r="L46" s="60"/>
      <c r="M46" s="60"/>
      <c r="N46" s="60"/>
      <c r="O46" s="60"/>
    </row>
    <row r="47" spans="1:15" ht="22.5" customHeight="1">
      <c r="K47" s="60"/>
      <c r="L47" s="60"/>
      <c r="M47" s="60"/>
      <c r="N47" s="60"/>
      <c r="O47" s="60"/>
    </row>
    <row r="48" spans="1:15" ht="22.5" customHeight="1">
      <c r="K48" s="60"/>
      <c r="L48" s="60"/>
      <c r="M48" s="60"/>
      <c r="N48" s="60"/>
      <c r="O48" s="60"/>
    </row>
    <row r="49" spans="2:15" ht="36" customHeight="1">
      <c r="K49" s="60"/>
      <c r="L49" s="60"/>
      <c r="M49" s="60"/>
      <c r="N49" s="60"/>
      <c r="O49" s="60"/>
    </row>
    <row r="50" spans="2:15" ht="20.25" customHeight="1">
      <c r="K50" s="60"/>
      <c r="L50" s="60"/>
      <c r="M50" s="60"/>
      <c r="N50" s="60"/>
      <c r="O50" s="60"/>
    </row>
    <row r="51" spans="2:15" ht="22.5" customHeight="1"/>
    <row r="52" spans="2:15" ht="22.5" customHeight="1"/>
    <row r="53" spans="2:15" ht="20.25" customHeight="1"/>
    <row r="54" spans="2:15" ht="18" customHeight="1"/>
    <row r="55" spans="2:15" ht="20.25" customHeight="1"/>
    <row r="56" spans="2:15" ht="18" customHeight="1"/>
    <row r="57" spans="2:15" s="60" customFormat="1" ht="18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s="60" customFormat="1" ht="18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64" spans="2:15">
      <c r="O64" s="60"/>
    </row>
    <row r="65" spans="15:15">
      <c r="O65" s="60"/>
    </row>
  </sheetData>
  <mergeCells count="18">
    <mergeCell ref="E25:G28"/>
    <mergeCell ref="A28:B28"/>
    <mergeCell ref="N5:P5"/>
    <mergeCell ref="E6:E15"/>
    <mergeCell ref="F12:F14"/>
    <mergeCell ref="G12:G14"/>
    <mergeCell ref="F16:G16"/>
    <mergeCell ref="E17:E24"/>
    <mergeCell ref="A1:C1"/>
    <mergeCell ref="D1:D28"/>
    <mergeCell ref="E1:G1"/>
    <mergeCell ref="H1:H28"/>
    <mergeCell ref="A2:C2"/>
    <mergeCell ref="E2:G2"/>
    <mergeCell ref="A3:C3"/>
    <mergeCell ref="E3:G3"/>
    <mergeCell ref="E4:G4"/>
    <mergeCell ref="F5:G5"/>
  </mergeCells>
  <hyperlinks>
    <hyperlink ref="K26" r:id="rId1" display="http://14.139.247.11/"/>
    <hyperlink ref="K3" r:id="rId2"/>
  </hyperlinks>
  <printOptions horizontalCentered="1" verticalCentered="1" gridLines="1"/>
  <pageMargins left="0" right="0" top="0" bottom="0" header="0" footer="0"/>
  <pageSetup paperSize="9" orientation="landscape" r:id="rId3"/>
  <headerFooter scaleWithDoc="0"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PrSec_Report (hpsldc) (FInal)</vt:lpstr>
      <vt:lpstr>'PrSec_Report (hpsldc) (FInal)'!Print_Area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2021-10-14T01:21:02Z</dcterms:created>
  <dcterms:modified xsi:type="dcterms:W3CDTF">2021-10-14T01:21:10Z</dcterms:modified>
</cp:coreProperties>
</file>